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8_{DB82BD01-AC75-4A6F-A33A-AAD3AFECCB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PĀ" sheetId="6" r:id="rId1"/>
    <sheet name="Kopsavillums TPL" sheetId="5" r:id="rId2"/>
    <sheet name="2022." sheetId="2" r:id="rId3"/>
    <sheet name="2023." sheetId="3" r:id="rId4"/>
    <sheet name="2024." sheetId="4" r:id="rId5"/>
    <sheet name="pieskaitāmās izmaksas" sheetId="7" r:id="rId6"/>
  </sheets>
  <definedNames>
    <definedName name="_xlnm._FilterDatabase" localSheetId="2" hidden="1">'2022.'!$A$6:$R$245</definedName>
    <definedName name="_xlnm._FilterDatabase" localSheetId="3" hidden="1">'2023.'!$A$6:$Q$245</definedName>
    <definedName name="_xlnm._FilterDatabase" localSheetId="4" hidden="1">'2024.'!$A$6:$Q$245</definedName>
    <definedName name="_xlnm.Print_Titles" localSheetId="2">'2022.'!$1:$6</definedName>
    <definedName name="_xlnm.Print_Titles" localSheetId="3">'2023.'!$1:$6</definedName>
    <definedName name="_xlnm.Print_Titles" localSheetId="4">'2024.'!$1:$6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7" l="1"/>
  <c r="B33" i="6"/>
  <c r="A33" i="6"/>
  <c r="B32" i="6"/>
  <c r="A32" i="6"/>
  <c r="B31" i="6"/>
  <c r="A31" i="6"/>
  <c r="B30" i="6"/>
  <c r="A30" i="6"/>
  <c r="B29" i="6"/>
  <c r="A29" i="6"/>
  <c r="H10" i="6"/>
  <c r="H9" i="6"/>
  <c r="H161" i="4" l="1"/>
  <c r="M159" i="2"/>
  <c r="J161" i="2"/>
  <c r="N161" i="2"/>
  <c r="P161" i="4" l="1"/>
  <c r="N161" i="3"/>
  <c r="N161" i="4" s="1"/>
  <c r="K161" i="2"/>
  <c r="Q161" i="2" s="1"/>
  <c r="F161" i="3" s="1"/>
  <c r="L161" i="2"/>
  <c r="P161" i="2"/>
  <c r="G158" i="2"/>
  <c r="R161" i="2" l="1"/>
  <c r="G161" i="3" s="1"/>
  <c r="M161" i="3" s="1"/>
  <c r="J161" i="3"/>
  <c r="C23" i="7"/>
  <c r="I21" i="7"/>
  <c r="H21" i="7"/>
  <c r="I20" i="7"/>
  <c r="H20" i="7"/>
  <c r="I10" i="7"/>
  <c r="I11" i="7"/>
  <c r="I12" i="7"/>
  <c r="I13" i="7"/>
  <c r="I8" i="7"/>
  <c r="H9" i="7"/>
  <c r="J9" i="7" s="1"/>
  <c r="K9" i="7" s="1"/>
  <c r="H10" i="7"/>
  <c r="J10" i="7" s="1"/>
  <c r="K10" i="7" s="1"/>
  <c r="H11" i="7"/>
  <c r="H12" i="7"/>
  <c r="J12" i="7" s="1"/>
  <c r="K12" i="7" s="1"/>
  <c r="H13" i="7"/>
  <c r="J13" i="7" s="1"/>
  <c r="K13" i="7" s="1"/>
  <c r="H8" i="7"/>
  <c r="C14" i="7"/>
  <c r="F24" i="6"/>
  <c r="D24" i="6"/>
  <c r="D23" i="6" s="1"/>
  <c r="F16" i="6"/>
  <c r="D16" i="6"/>
  <c r="F8" i="6"/>
  <c r="F7" i="6" s="1"/>
  <c r="G8" i="6" s="1"/>
  <c r="D8" i="6"/>
  <c r="D7" i="6" s="1"/>
  <c r="H161" i="3" l="1"/>
  <c r="P161" i="3"/>
  <c r="F161" i="4" s="1"/>
  <c r="K161" i="3"/>
  <c r="I161" i="3" s="1"/>
  <c r="O161" i="3"/>
  <c r="H23" i="7"/>
  <c r="J11" i="7"/>
  <c r="K11" i="7" s="1"/>
  <c r="J20" i="7"/>
  <c r="H14" i="7"/>
  <c r="J8" i="7"/>
  <c r="K8" i="7" s="1"/>
  <c r="J21" i="7"/>
  <c r="K21" i="7" s="1"/>
  <c r="I23" i="7"/>
  <c r="I14" i="7"/>
  <c r="E24" i="6"/>
  <c r="E26" i="6" s="1"/>
  <c r="F23" i="6"/>
  <c r="D15" i="6"/>
  <c r="F15" i="6"/>
  <c r="G16" i="6" s="1"/>
  <c r="G18" i="6" s="1"/>
  <c r="G27" i="5"/>
  <c r="E8" i="6"/>
  <c r="G10" i="6"/>
  <c r="Q161" i="3" l="1"/>
  <c r="G161" i="4" s="1"/>
  <c r="K161" i="4" s="1"/>
  <c r="I161" i="4" s="1"/>
  <c r="K14" i="7"/>
  <c r="J23" i="7"/>
  <c r="J14" i="7"/>
  <c r="K20" i="7"/>
  <c r="G24" i="6"/>
  <c r="G26" i="6" s="1"/>
  <c r="E16" i="6"/>
  <c r="E18" i="6" s="1"/>
  <c r="M161" i="4" l="1"/>
  <c r="Q161" i="4" s="1"/>
  <c r="J9" i="6"/>
  <c r="H17" i="6"/>
  <c r="K22" i="7"/>
  <c r="K23" i="7" s="1"/>
  <c r="L244" i="4"/>
  <c r="L234" i="4"/>
  <c r="L229" i="4"/>
  <c r="L226" i="4"/>
  <c r="L181" i="4"/>
  <c r="L166" i="4"/>
  <c r="L158" i="4"/>
  <c r="L132" i="4"/>
  <c r="L114" i="4"/>
  <c r="L88" i="4"/>
  <c r="L17" i="4"/>
  <c r="L14" i="4"/>
  <c r="L11" i="4"/>
  <c r="L7" i="4" s="1"/>
  <c r="O161" i="4" l="1"/>
  <c r="H18" i="6"/>
  <c r="J10" i="6"/>
  <c r="H25" i="6"/>
  <c r="J25" i="6" s="1"/>
  <c r="J17" i="6"/>
  <c r="L16" i="4"/>
  <c r="J18" i="6" l="1"/>
  <c r="H26" i="6"/>
  <c r="J26" i="6" s="1"/>
  <c r="L247" i="4"/>
  <c r="L244" i="3"/>
  <c r="L234" i="3"/>
  <c r="L229" i="3"/>
  <c r="L226" i="3"/>
  <c r="L181" i="3"/>
  <c r="L166" i="3"/>
  <c r="L158" i="3"/>
  <c r="L132" i="3"/>
  <c r="L114" i="3"/>
  <c r="L88" i="3"/>
  <c r="L17" i="3"/>
  <c r="L14" i="3"/>
  <c r="L11" i="3"/>
  <c r="M11" i="2"/>
  <c r="N11" i="2" s="1"/>
  <c r="O10" i="2"/>
  <c r="I10" i="2"/>
  <c r="I11" i="2" s="1"/>
  <c r="L16" i="3" l="1"/>
  <c r="L7" i="3"/>
  <c r="K155" i="2"/>
  <c r="N245" i="2"/>
  <c r="N244" i="2" s="1"/>
  <c r="N243" i="2"/>
  <c r="N242" i="2"/>
  <c r="N241" i="2"/>
  <c r="N240" i="2"/>
  <c r="N239" i="2"/>
  <c r="N238" i="2"/>
  <c r="N237" i="2"/>
  <c r="N236" i="2"/>
  <c r="N235" i="2"/>
  <c r="N233" i="2"/>
  <c r="N232" i="2"/>
  <c r="N231" i="2"/>
  <c r="N230" i="2"/>
  <c r="N228" i="2"/>
  <c r="N227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0" i="2"/>
  <c r="P180" i="2" s="1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5" i="2"/>
  <c r="N164" i="2"/>
  <c r="N163" i="2"/>
  <c r="N162" i="2"/>
  <c r="N160" i="2"/>
  <c r="N159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5" i="2"/>
  <c r="N14" i="2" s="1"/>
  <c r="N13" i="2"/>
  <c r="N12" i="2"/>
  <c r="N10" i="2"/>
  <c r="N9" i="2"/>
  <c r="N8" i="2"/>
  <c r="K18" i="2"/>
  <c r="J18" i="3" s="1"/>
  <c r="K8" i="2"/>
  <c r="J8" i="3" s="1"/>
  <c r="J18" i="4" l="1"/>
  <c r="H18" i="4" s="1"/>
  <c r="H18" i="3"/>
  <c r="Q155" i="2"/>
  <c r="J155" i="3"/>
  <c r="J8" i="4"/>
  <c r="H8" i="4" s="1"/>
  <c r="H8" i="3"/>
  <c r="N226" i="2"/>
  <c r="N17" i="2"/>
  <c r="N234" i="2"/>
  <c r="N132" i="2"/>
  <c r="N114" i="2"/>
  <c r="N166" i="2"/>
  <c r="N229" i="2"/>
  <c r="N88" i="2"/>
  <c r="O66" i="2"/>
  <c r="J155" i="4" l="1"/>
  <c r="H155" i="4" s="1"/>
  <c r="H155" i="3"/>
  <c r="N16" i="2"/>
  <c r="O32" i="2" l="1"/>
  <c r="O18" i="2"/>
  <c r="O87" i="2" l="1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0" i="2"/>
  <c r="O28" i="2"/>
  <c r="O26" i="2"/>
  <c r="O25" i="2"/>
  <c r="O24" i="2"/>
  <c r="O23" i="2"/>
  <c r="O22" i="2"/>
  <c r="O21" i="2"/>
  <c r="O20" i="2"/>
  <c r="O19" i="2"/>
  <c r="O89" i="2"/>
  <c r="O113" i="2"/>
  <c r="O112" i="2"/>
  <c r="O111" i="2"/>
  <c r="O110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I180" i="2" l="1"/>
  <c r="H204" i="2" l="1"/>
  <c r="G204" i="2"/>
  <c r="N204" i="2" s="1"/>
  <c r="N181" i="2" s="1"/>
  <c r="M23" i="5" l="1"/>
  <c r="S23" i="5" s="1"/>
  <c r="Q20" i="5"/>
  <c r="Q19" i="5"/>
  <c r="Q18" i="5"/>
  <c r="Q17" i="5"/>
  <c r="Q16" i="5"/>
  <c r="Q15" i="5"/>
  <c r="Q14" i="5"/>
  <c r="Q13" i="5"/>
  <c r="Q12" i="5"/>
  <c r="Q11" i="5"/>
  <c r="Q10" i="5"/>
  <c r="Q8" i="5"/>
  <c r="Q7" i="5"/>
  <c r="N9" i="3"/>
  <c r="N9" i="4" s="1"/>
  <c r="N10" i="3"/>
  <c r="N10" i="4" s="1"/>
  <c r="N11" i="3"/>
  <c r="N11" i="4" s="1"/>
  <c r="N12" i="3"/>
  <c r="N12" i="4" s="1"/>
  <c r="N13" i="3"/>
  <c r="N13" i="4" s="1"/>
  <c r="N15" i="3"/>
  <c r="N15" i="4" s="1"/>
  <c r="N18" i="3"/>
  <c r="N18" i="4" s="1"/>
  <c r="N19" i="3"/>
  <c r="N19" i="4" s="1"/>
  <c r="N20" i="3"/>
  <c r="N20" i="4" s="1"/>
  <c r="N21" i="3"/>
  <c r="N21" i="4" s="1"/>
  <c r="N22" i="3"/>
  <c r="N22" i="4" s="1"/>
  <c r="N23" i="3"/>
  <c r="N23" i="4" s="1"/>
  <c r="N24" i="3"/>
  <c r="N24" i="4" s="1"/>
  <c r="N25" i="3"/>
  <c r="N25" i="4" s="1"/>
  <c r="N26" i="3"/>
  <c r="N26" i="4" s="1"/>
  <c r="N27" i="3"/>
  <c r="N27" i="4" s="1"/>
  <c r="N28" i="3"/>
  <c r="N28" i="4" s="1"/>
  <c r="N29" i="3"/>
  <c r="N29" i="4" s="1"/>
  <c r="N30" i="3"/>
  <c r="N30" i="4" s="1"/>
  <c r="N31" i="3"/>
  <c r="N31" i="4" s="1"/>
  <c r="N32" i="3"/>
  <c r="N32" i="4" s="1"/>
  <c r="N33" i="3"/>
  <c r="N33" i="4" s="1"/>
  <c r="N34" i="3"/>
  <c r="N34" i="4" s="1"/>
  <c r="N35" i="3"/>
  <c r="N35" i="4" s="1"/>
  <c r="N36" i="3"/>
  <c r="N36" i="4" s="1"/>
  <c r="N37" i="3"/>
  <c r="N37" i="4" s="1"/>
  <c r="N38" i="3"/>
  <c r="N38" i="4" s="1"/>
  <c r="N39" i="3"/>
  <c r="N39" i="4" s="1"/>
  <c r="N40" i="3"/>
  <c r="N40" i="4" s="1"/>
  <c r="N41" i="3"/>
  <c r="N41" i="4" s="1"/>
  <c r="N42" i="3"/>
  <c r="N42" i="4" s="1"/>
  <c r="N43" i="3"/>
  <c r="N43" i="4" s="1"/>
  <c r="N44" i="3"/>
  <c r="N44" i="4" s="1"/>
  <c r="N45" i="3"/>
  <c r="N45" i="4" s="1"/>
  <c r="N46" i="3"/>
  <c r="N46" i="4" s="1"/>
  <c r="N47" i="3"/>
  <c r="N47" i="4" s="1"/>
  <c r="N48" i="3"/>
  <c r="N48" i="4" s="1"/>
  <c r="N49" i="3"/>
  <c r="N49" i="4" s="1"/>
  <c r="N50" i="3"/>
  <c r="N50" i="4" s="1"/>
  <c r="N51" i="3"/>
  <c r="N51" i="4" s="1"/>
  <c r="N52" i="3"/>
  <c r="N52" i="4" s="1"/>
  <c r="N53" i="3"/>
  <c r="N53" i="4" s="1"/>
  <c r="N54" i="3"/>
  <c r="N54" i="4" s="1"/>
  <c r="N55" i="3"/>
  <c r="N55" i="4" s="1"/>
  <c r="N56" i="3"/>
  <c r="N56" i="4" s="1"/>
  <c r="N57" i="3"/>
  <c r="N57" i="4" s="1"/>
  <c r="N58" i="3"/>
  <c r="N58" i="4" s="1"/>
  <c r="N59" i="3"/>
  <c r="N59" i="4" s="1"/>
  <c r="N60" i="3"/>
  <c r="N60" i="4" s="1"/>
  <c r="N61" i="3"/>
  <c r="N61" i="4" s="1"/>
  <c r="N62" i="3"/>
  <c r="N62" i="4" s="1"/>
  <c r="N63" i="3"/>
  <c r="N63" i="4" s="1"/>
  <c r="N64" i="3"/>
  <c r="N64" i="4" s="1"/>
  <c r="N65" i="3"/>
  <c r="N65" i="4" s="1"/>
  <c r="N66" i="3"/>
  <c r="N66" i="4" s="1"/>
  <c r="N67" i="3"/>
  <c r="N67" i="4" s="1"/>
  <c r="N68" i="3"/>
  <c r="N68" i="4" s="1"/>
  <c r="N69" i="3"/>
  <c r="N69" i="4" s="1"/>
  <c r="N70" i="3"/>
  <c r="N70" i="4" s="1"/>
  <c r="N71" i="3"/>
  <c r="N71" i="4" s="1"/>
  <c r="N72" i="3"/>
  <c r="N72" i="4" s="1"/>
  <c r="N73" i="3"/>
  <c r="N73" i="4" s="1"/>
  <c r="N74" i="3"/>
  <c r="N74" i="4" s="1"/>
  <c r="N75" i="3"/>
  <c r="N75" i="4" s="1"/>
  <c r="N76" i="3"/>
  <c r="N76" i="4" s="1"/>
  <c r="N77" i="3"/>
  <c r="N77" i="4" s="1"/>
  <c r="N78" i="3"/>
  <c r="N78" i="4" s="1"/>
  <c r="N79" i="3"/>
  <c r="N79" i="4" s="1"/>
  <c r="N80" i="3"/>
  <c r="N80" i="4" s="1"/>
  <c r="N81" i="3"/>
  <c r="N81" i="4" s="1"/>
  <c r="N82" i="3"/>
  <c r="N82" i="4" s="1"/>
  <c r="N83" i="3"/>
  <c r="N83" i="4" s="1"/>
  <c r="N84" i="3"/>
  <c r="N84" i="4" s="1"/>
  <c r="N85" i="3"/>
  <c r="N85" i="4" s="1"/>
  <c r="N86" i="3"/>
  <c r="N86" i="4" s="1"/>
  <c r="N87" i="3"/>
  <c r="N87" i="4" s="1"/>
  <c r="N89" i="3"/>
  <c r="N89" i="4" s="1"/>
  <c r="N90" i="3"/>
  <c r="N90" i="4" s="1"/>
  <c r="N91" i="3"/>
  <c r="N91" i="4" s="1"/>
  <c r="N92" i="3"/>
  <c r="N92" i="4" s="1"/>
  <c r="N93" i="3"/>
  <c r="N93" i="4" s="1"/>
  <c r="N94" i="3"/>
  <c r="N94" i="4" s="1"/>
  <c r="N95" i="3"/>
  <c r="N95" i="4" s="1"/>
  <c r="N96" i="3"/>
  <c r="N96" i="4" s="1"/>
  <c r="N97" i="3"/>
  <c r="N97" i="4" s="1"/>
  <c r="N98" i="3"/>
  <c r="N98" i="4" s="1"/>
  <c r="N99" i="3"/>
  <c r="N99" i="4" s="1"/>
  <c r="N100" i="3"/>
  <c r="N100" i="4" s="1"/>
  <c r="N101" i="3"/>
  <c r="N101" i="4" s="1"/>
  <c r="N102" i="3"/>
  <c r="N102" i="4" s="1"/>
  <c r="N103" i="3"/>
  <c r="N103" i="4" s="1"/>
  <c r="N104" i="3"/>
  <c r="N104" i="4" s="1"/>
  <c r="N105" i="3"/>
  <c r="N105" i="4" s="1"/>
  <c r="N106" i="3"/>
  <c r="N106" i="4" s="1"/>
  <c r="N107" i="3"/>
  <c r="N107" i="4" s="1"/>
  <c r="N108" i="3"/>
  <c r="N108" i="4" s="1"/>
  <c r="N109" i="3"/>
  <c r="N109" i="4" s="1"/>
  <c r="N110" i="3"/>
  <c r="N110" i="4" s="1"/>
  <c r="N111" i="3"/>
  <c r="N111" i="4" s="1"/>
  <c r="N112" i="3"/>
  <c r="N112" i="4" s="1"/>
  <c r="N113" i="3"/>
  <c r="N113" i="4" s="1"/>
  <c r="N115" i="3"/>
  <c r="N115" i="4" s="1"/>
  <c r="N116" i="3"/>
  <c r="N116" i="4" s="1"/>
  <c r="N117" i="3"/>
  <c r="N117" i="4" s="1"/>
  <c r="N118" i="3"/>
  <c r="N118" i="4" s="1"/>
  <c r="N119" i="3"/>
  <c r="N119" i="4" s="1"/>
  <c r="N120" i="3"/>
  <c r="N120" i="4" s="1"/>
  <c r="N121" i="3"/>
  <c r="N121" i="4" s="1"/>
  <c r="N122" i="3"/>
  <c r="N122" i="4" s="1"/>
  <c r="N123" i="3"/>
  <c r="N123" i="4" s="1"/>
  <c r="N124" i="3"/>
  <c r="N124" i="4" s="1"/>
  <c r="N125" i="3"/>
  <c r="N125" i="4" s="1"/>
  <c r="N126" i="3"/>
  <c r="N126" i="4" s="1"/>
  <c r="N127" i="3"/>
  <c r="N127" i="4" s="1"/>
  <c r="N128" i="3"/>
  <c r="N128" i="4" s="1"/>
  <c r="N129" i="3"/>
  <c r="N129" i="4" s="1"/>
  <c r="N130" i="3"/>
  <c r="N130" i="4" s="1"/>
  <c r="N131" i="3"/>
  <c r="N131" i="4" s="1"/>
  <c r="N133" i="3"/>
  <c r="N133" i="4" s="1"/>
  <c r="N134" i="3"/>
  <c r="N134" i="4" s="1"/>
  <c r="N135" i="3"/>
  <c r="N135" i="4" s="1"/>
  <c r="N136" i="3"/>
  <c r="N136" i="4" s="1"/>
  <c r="N137" i="3"/>
  <c r="N137" i="4" s="1"/>
  <c r="N138" i="3"/>
  <c r="N138" i="4" s="1"/>
  <c r="N139" i="3"/>
  <c r="N139" i="4" s="1"/>
  <c r="N140" i="3"/>
  <c r="N140" i="4" s="1"/>
  <c r="N141" i="3"/>
  <c r="N141" i="4" s="1"/>
  <c r="N142" i="3"/>
  <c r="N142" i="4" s="1"/>
  <c r="N143" i="3"/>
  <c r="N143" i="4" s="1"/>
  <c r="N144" i="3"/>
  <c r="N144" i="4" s="1"/>
  <c r="N145" i="3"/>
  <c r="N145" i="4" s="1"/>
  <c r="N146" i="3"/>
  <c r="N146" i="4" s="1"/>
  <c r="N147" i="3"/>
  <c r="N147" i="4" s="1"/>
  <c r="N148" i="3"/>
  <c r="N148" i="4" s="1"/>
  <c r="N149" i="3"/>
  <c r="N149" i="4" s="1"/>
  <c r="N150" i="3"/>
  <c r="N150" i="4" s="1"/>
  <c r="N151" i="3"/>
  <c r="N151" i="4" s="1"/>
  <c r="N152" i="3"/>
  <c r="N152" i="4" s="1"/>
  <c r="N153" i="3"/>
  <c r="N153" i="4" s="1"/>
  <c r="N154" i="3"/>
  <c r="N154" i="4" s="1"/>
  <c r="N155" i="3"/>
  <c r="N155" i="4" s="1"/>
  <c r="N156" i="3"/>
  <c r="N156" i="4" s="1"/>
  <c r="N157" i="3"/>
  <c r="N157" i="4" s="1"/>
  <c r="N159" i="3"/>
  <c r="N159" i="4" s="1"/>
  <c r="N160" i="3"/>
  <c r="N160" i="4" s="1"/>
  <c r="N162" i="3"/>
  <c r="N162" i="4" s="1"/>
  <c r="N163" i="3"/>
  <c r="N163" i="4" s="1"/>
  <c r="N164" i="3"/>
  <c r="N164" i="4" s="1"/>
  <c r="N165" i="3"/>
  <c r="N165" i="4" s="1"/>
  <c r="N167" i="3"/>
  <c r="N167" i="4" s="1"/>
  <c r="N168" i="3"/>
  <c r="N168" i="4" s="1"/>
  <c r="N169" i="3"/>
  <c r="N169" i="4" s="1"/>
  <c r="N170" i="3"/>
  <c r="N170" i="4" s="1"/>
  <c r="N171" i="3"/>
  <c r="N171" i="4" s="1"/>
  <c r="N172" i="3"/>
  <c r="N172" i="4" s="1"/>
  <c r="N173" i="3"/>
  <c r="N173" i="4" s="1"/>
  <c r="N174" i="3"/>
  <c r="N174" i="4" s="1"/>
  <c r="N175" i="3"/>
  <c r="N175" i="4" s="1"/>
  <c r="N176" i="3"/>
  <c r="N176" i="4" s="1"/>
  <c r="N177" i="3"/>
  <c r="N177" i="4" s="1"/>
  <c r="N178" i="3"/>
  <c r="N178" i="4" s="1"/>
  <c r="N179" i="3"/>
  <c r="N179" i="4" s="1"/>
  <c r="N180" i="3"/>
  <c r="N182" i="3"/>
  <c r="N182" i="4" s="1"/>
  <c r="N183" i="3"/>
  <c r="N183" i="4" s="1"/>
  <c r="N184" i="3"/>
  <c r="N184" i="4" s="1"/>
  <c r="N185" i="3"/>
  <c r="N185" i="4" s="1"/>
  <c r="N186" i="3"/>
  <c r="N186" i="4" s="1"/>
  <c r="N187" i="3"/>
  <c r="N187" i="4" s="1"/>
  <c r="N188" i="3"/>
  <c r="N188" i="4" s="1"/>
  <c r="N189" i="3"/>
  <c r="N189" i="4" s="1"/>
  <c r="N190" i="3"/>
  <c r="N190" i="4" s="1"/>
  <c r="N191" i="3"/>
  <c r="N191" i="4" s="1"/>
  <c r="N192" i="3"/>
  <c r="N192" i="4" s="1"/>
  <c r="N193" i="3"/>
  <c r="N193" i="4" s="1"/>
  <c r="N194" i="3"/>
  <c r="N194" i="4" s="1"/>
  <c r="N195" i="3"/>
  <c r="N195" i="4" s="1"/>
  <c r="N196" i="3"/>
  <c r="N196" i="4" s="1"/>
  <c r="N197" i="3"/>
  <c r="N197" i="4" s="1"/>
  <c r="N198" i="3"/>
  <c r="N198" i="4" s="1"/>
  <c r="N199" i="3"/>
  <c r="N199" i="4" s="1"/>
  <c r="N200" i="3"/>
  <c r="N200" i="4" s="1"/>
  <c r="N201" i="3"/>
  <c r="N201" i="4" s="1"/>
  <c r="N202" i="3"/>
  <c r="N202" i="4" s="1"/>
  <c r="N203" i="3"/>
  <c r="N203" i="4" s="1"/>
  <c r="N204" i="3"/>
  <c r="N204" i="4" s="1"/>
  <c r="N205" i="3"/>
  <c r="N205" i="4" s="1"/>
  <c r="N206" i="3"/>
  <c r="N206" i="4" s="1"/>
  <c r="N207" i="3"/>
  <c r="N207" i="4" s="1"/>
  <c r="N208" i="3"/>
  <c r="N208" i="4" s="1"/>
  <c r="N209" i="3"/>
  <c r="N209" i="4" s="1"/>
  <c r="N210" i="3"/>
  <c r="N210" i="4" s="1"/>
  <c r="N211" i="3"/>
  <c r="N211" i="4" s="1"/>
  <c r="N212" i="3"/>
  <c r="N212" i="4" s="1"/>
  <c r="N213" i="3"/>
  <c r="N213" i="4" s="1"/>
  <c r="N214" i="3"/>
  <c r="N214" i="4" s="1"/>
  <c r="N215" i="3"/>
  <c r="N215" i="4" s="1"/>
  <c r="N216" i="3"/>
  <c r="N216" i="4" s="1"/>
  <c r="N217" i="3"/>
  <c r="N217" i="4" s="1"/>
  <c r="N218" i="3"/>
  <c r="N218" i="4" s="1"/>
  <c r="N219" i="3"/>
  <c r="N220" i="3"/>
  <c r="N220" i="4" s="1"/>
  <c r="N221" i="3"/>
  <c r="N221" i="4" s="1"/>
  <c r="N222" i="3"/>
  <c r="N222" i="4" s="1"/>
  <c r="N223" i="3"/>
  <c r="N223" i="4" s="1"/>
  <c r="N224" i="3"/>
  <c r="N224" i="4" s="1"/>
  <c r="N225" i="3"/>
  <c r="N225" i="4" s="1"/>
  <c r="N227" i="3"/>
  <c r="N227" i="4" s="1"/>
  <c r="N228" i="3"/>
  <c r="N228" i="4" s="1"/>
  <c r="N230" i="3"/>
  <c r="N230" i="4" s="1"/>
  <c r="N231" i="3"/>
  <c r="N231" i="4" s="1"/>
  <c r="N232" i="3"/>
  <c r="N232" i="4" s="1"/>
  <c r="N233" i="3"/>
  <c r="N233" i="4" s="1"/>
  <c r="N235" i="3"/>
  <c r="N235" i="4" s="1"/>
  <c r="N236" i="3"/>
  <c r="N236" i="4" s="1"/>
  <c r="N237" i="3"/>
  <c r="N237" i="4" s="1"/>
  <c r="N238" i="3"/>
  <c r="N238" i="4" s="1"/>
  <c r="N239" i="3"/>
  <c r="N239" i="4" s="1"/>
  <c r="N240" i="3"/>
  <c r="N240" i="4" s="1"/>
  <c r="N241" i="3"/>
  <c r="N241" i="4" s="1"/>
  <c r="N242" i="3"/>
  <c r="N242" i="4" s="1"/>
  <c r="N243" i="3"/>
  <c r="N243" i="4" s="1"/>
  <c r="N245" i="3"/>
  <c r="N245" i="4" s="1"/>
  <c r="N8" i="3"/>
  <c r="N8" i="4" s="1"/>
  <c r="K20" i="5"/>
  <c r="K19" i="5"/>
  <c r="K18" i="5"/>
  <c r="K17" i="5"/>
  <c r="K16" i="5"/>
  <c r="K15" i="5"/>
  <c r="K13" i="5"/>
  <c r="K12" i="5"/>
  <c r="K11" i="5"/>
  <c r="K10" i="5"/>
  <c r="K8" i="5"/>
  <c r="P10" i="2"/>
  <c r="M27" i="5" s="1"/>
  <c r="S27" i="5" s="1"/>
  <c r="G181" i="2"/>
  <c r="C16" i="5" s="1"/>
  <c r="H226" i="2"/>
  <c r="I226" i="2"/>
  <c r="M226" i="2"/>
  <c r="E17" i="5" s="1"/>
  <c r="G226" i="2"/>
  <c r="C17" i="5" s="1"/>
  <c r="H229" i="2"/>
  <c r="I229" i="2"/>
  <c r="M229" i="2"/>
  <c r="E18" i="5" s="1"/>
  <c r="G229" i="2"/>
  <c r="C18" i="5" s="1"/>
  <c r="H234" i="2"/>
  <c r="I234" i="2"/>
  <c r="M234" i="2"/>
  <c r="E19" i="5" s="1"/>
  <c r="G234" i="2"/>
  <c r="C19" i="5" s="1"/>
  <c r="H181" i="2"/>
  <c r="I181" i="2"/>
  <c r="M181" i="2"/>
  <c r="E16" i="5" s="1"/>
  <c r="H166" i="2"/>
  <c r="I166" i="2"/>
  <c r="M166" i="2"/>
  <c r="E15" i="5" s="1"/>
  <c r="G166" i="2"/>
  <c r="C15" i="5" s="1"/>
  <c r="M158" i="2"/>
  <c r="E14" i="5" s="1"/>
  <c r="I158" i="2"/>
  <c r="H158" i="2"/>
  <c r="H132" i="2"/>
  <c r="I132" i="2"/>
  <c r="M132" i="2"/>
  <c r="E13" i="5" s="1"/>
  <c r="G132" i="2"/>
  <c r="C13" i="5" s="1"/>
  <c r="M244" i="2"/>
  <c r="E20" i="5" s="1"/>
  <c r="I244" i="2"/>
  <c r="H244" i="2"/>
  <c r="G244" i="2"/>
  <c r="C20" i="5" s="1"/>
  <c r="H88" i="2"/>
  <c r="I88" i="2"/>
  <c r="M88" i="2"/>
  <c r="E11" i="5" s="1"/>
  <c r="G88" i="2"/>
  <c r="C11" i="5" s="1"/>
  <c r="H114" i="2"/>
  <c r="I114" i="2"/>
  <c r="M114" i="2"/>
  <c r="E12" i="5" s="1"/>
  <c r="G114" i="2"/>
  <c r="C12" i="5" s="1"/>
  <c r="H17" i="2"/>
  <c r="I17" i="2"/>
  <c r="M17" i="2"/>
  <c r="E10" i="5" s="1"/>
  <c r="G17" i="2"/>
  <c r="C10" i="5" s="1"/>
  <c r="H14" i="2"/>
  <c r="I14" i="2"/>
  <c r="M14" i="2"/>
  <c r="E8" i="5" s="1"/>
  <c r="G14" i="2"/>
  <c r="C8" i="5" s="1"/>
  <c r="G7" i="2"/>
  <c r="H7" i="2"/>
  <c r="I7" i="2"/>
  <c r="M7" i="2"/>
  <c r="E7" i="5" s="1"/>
  <c r="J8" i="2"/>
  <c r="L8" i="2" s="1"/>
  <c r="Q8" i="2"/>
  <c r="F8" i="3" s="1"/>
  <c r="P8" i="2"/>
  <c r="J9" i="2"/>
  <c r="K9" i="2"/>
  <c r="P9" i="2"/>
  <c r="J10" i="2"/>
  <c r="L10" i="2" s="1"/>
  <c r="K10" i="2"/>
  <c r="J11" i="2"/>
  <c r="L11" i="2" s="1"/>
  <c r="K11" i="2"/>
  <c r="P11" i="2"/>
  <c r="J12" i="2"/>
  <c r="L12" i="2" s="1"/>
  <c r="K12" i="2"/>
  <c r="P12" i="2"/>
  <c r="J13" i="2"/>
  <c r="L13" i="2" s="1"/>
  <c r="K13" i="2"/>
  <c r="J15" i="2"/>
  <c r="L15" i="2" s="1"/>
  <c r="K15" i="2"/>
  <c r="P15" i="2"/>
  <c r="P14" i="2" s="1"/>
  <c r="G8" i="5" s="1"/>
  <c r="J18" i="2"/>
  <c r="L18" i="2" s="1"/>
  <c r="P18" i="2"/>
  <c r="J19" i="2"/>
  <c r="L19" i="2" s="1"/>
  <c r="K19" i="2"/>
  <c r="P19" i="2"/>
  <c r="J20" i="2"/>
  <c r="L20" i="2" s="1"/>
  <c r="K20" i="2"/>
  <c r="P20" i="2"/>
  <c r="J21" i="2"/>
  <c r="L21" i="2" s="1"/>
  <c r="K21" i="2"/>
  <c r="P21" i="2"/>
  <c r="J22" i="2"/>
  <c r="L22" i="2" s="1"/>
  <c r="K22" i="2"/>
  <c r="P22" i="2"/>
  <c r="J23" i="2"/>
  <c r="L23" i="2" s="1"/>
  <c r="K23" i="2"/>
  <c r="P23" i="2"/>
  <c r="J24" i="2"/>
  <c r="L24" i="2" s="1"/>
  <c r="K24" i="2"/>
  <c r="P24" i="2"/>
  <c r="J25" i="2"/>
  <c r="L25" i="2" s="1"/>
  <c r="K25" i="2"/>
  <c r="P25" i="2"/>
  <c r="J26" i="2"/>
  <c r="L26" i="2" s="1"/>
  <c r="K26" i="2"/>
  <c r="P26" i="2"/>
  <c r="J27" i="2"/>
  <c r="L27" i="2" s="1"/>
  <c r="K27" i="2"/>
  <c r="P27" i="2"/>
  <c r="J28" i="2"/>
  <c r="L28" i="2" s="1"/>
  <c r="K28" i="2"/>
  <c r="P28" i="2"/>
  <c r="J29" i="2"/>
  <c r="L29" i="2" s="1"/>
  <c r="K29" i="2"/>
  <c r="J30" i="2"/>
  <c r="L30" i="2" s="1"/>
  <c r="K30" i="2"/>
  <c r="P30" i="2"/>
  <c r="J31" i="2"/>
  <c r="L31" i="2" s="1"/>
  <c r="K31" i="2"/>
  <c r="P31" i="2"/>
  <c r="J32" i="2"/>
  <c r="L32" i="2" s="1"/>
  <c r="K32" i="2"/>
  <c r="P32" i="2"/>
  <c r="J33" i="2"/>
  <c r="L33" i="2" s="1"/>
  <c r="K33" i="2"/>
  <c r="P33" i="2"/>
  <c r="J34" i="2"/>
  <c r="L34" i="2" s="1"/>
  <c r="K34" i="2"/>
  <c r="P34" i="2"/>
  <c r="J35" i="2"/>
  <c r="L35" i="2" s="1"/>
  <c r="K35" i="2"/>
  <c r="P35" i="2"/>
  <c r="J36" i="2"/>
  <c r="L36" i="2" s="1"/>
  <c r="K36" i="2"/>
  <c r="P36" i="2"/>
  <c r="J37" i="2"/>
  <c r="L37" i="2" s="1"/>
  <c r="K37" i="2"/>
  <c r="J38" i="2"/>
  <c r="L38" i="2" s="1"/>
  <c r="K38" i="2"/>
  <c r="P38" i="2"/>
  <c r="J39" i="2"/>
  <c r="L39" i="2" s="1"/>
  <c r="K39" i="2"/>
  <c r="P39" i="2"/>
  <c r="J40" i="2"/>
  <c r="L40" i="2" s="1"/>
  <c r="K40" i="2"/>
  <c r="P40" i="2"/>
  <c r="J41" i="2"/>
  <c r="L41" i="2" s="1"/>
  <c r="K41" i="2"/>
  <c r="P41" i="2"/>
  <c r="J42" i="2"/>
  <c r="L42" i="2" s="1"/>
  <c r="K42" i="2"/>
  <c r="P42" i="2"/>
  <c r="J43" i="2"/>
  <c r="L43" i="2" s="1"/>
  <c r="K43" i="2"/>
  <c r="P43" i="2"/>
  <c r="J44" i="2"/>
  <c r="L44" i="2" s="1"/>
  <c r="K44" i="2"/>
  <c r="P44" i="2"/>
  <c r="J45" i="2"/>
  <c r="L45" i="2" s="1"/>
  <c r="K45" i="2"/>
  <c r="J46" i="2"/>
  <c r="L46" i="2" s="1"/>
  <c r="K46" i="2"/>
  <c r="P46" i="2"/>
  <c r="J47" i="2"/>
  <c r="L47" i="2" s="1"/>
  <c r="K47" i="2"/>
  <c r="P47" i="2"/>
  <c r="J48" i="2"/>
  <c r="L48" i="2" s="1"/>
  <c r="K48" i="2"/>
  <c r="P48" i="2"/>
  <c r="J49" i="2"/>
  <c r="L49" i="2" s="1"/>
  <c r="K49" i="2"/>
  <c r="P49" i="2"/>
  <c r="J50" i="2"/>
  <c r="L50" i="2" s="1"/>
  <c r="K50" i="2"/>
  <c r="P50" i="2"/>
  <c r="J51" i="2"/>
  <c r="L51" i="2" s="1"/>
  <c r="K51" i="2"/>
  <c r="P51" i="2"/>
  <c r="J52" i="2"/>
  <c r="L52" i="2" s="1"/>
  <c r="K52" i="2"/>
  <c r="P52" i="2"/>
  <c r="J53" i="2"/>
  <c r="L53" i="2" s="1"/>
  <c r="K53" i="2"/>
  <c r="J54" i="2"/>
  <c r="L54" i="2" s="1"/>
  <c r="K54" i="2"/>
  <c r="P54" i="2"/>
  <c r="J55" i="2"/>
  <c r="L55" i="2" s="1"/>
  <c r="K55" i="2"/>
  <c r="P55" i="2"/>
  <c r="J56" i="2"/>
  <c r="L56" i="2" s="1"/>
  <c r="K56" i="2"/>
  <c r="P56" i="2"/>
  <c r="J57" i="2"/>
  <c r="L57" i="2" s="1"/>
  <c r="K57" i="2"/>
  <c r="P57" i="2"/>
  <c r="J58" i="2"/>
  <c r="L58" i="2" s="1"/>
  <c r="K58" i="2"/>
  <c r="P58" i="2"/>
  <c r="J59" i="2"/>
  <c r="L59" i="2" s="1"/>
  <c r="K59" i="2"/>
  <c r="P59" i="2"/>
  <c r="J60" i="2"/>
  <c r="L60" i="2" s="1"/>
  <c r="K60" i="2"/>
  <c r="P60" i="2"/>
  <c r="J61" i="2"/>
  <c r="L61" i="2" s="1"/>
  <c r="K61" i="2"/>
  <c r="J62" i="2"/>
  <c r="L62" i="2" s="1"/>
  <c r="K62" i="2"/>
  <c r="P62" i="2"/>
  <c r="J63" i="2"/>
  <c r="L63" i="2" s="1"/>
  <c r="K63" i="2"/>
  <c r="P63" i="2"/>
  <c r="J64" i="2"/>
  <c r="L64" i="2" s="1"/>
  <c r="K64" i="2"/>
  <c r="P64" i="2"/>
  <c r="J65" i="2"/>
  <c r="L65" i="2" s="1"/>
  <c r="K65" i="2"/>
  <c r="P65" i="2"/>
  <c r="J66" i="2"/>
  <c r="L66" i="2" s="1"/>
  <c r="K66" i="2"/>
  <c r="P66" i="2"/>
  <c r="J67" i="2"/>
  <c r="L67" i="2" s="1"/>
  <c r="K67" i="2"/>
  <c r="P67" i="2"/>
  <c r="J68" i="2"/>
  <c r="L68" i="2" s="1"/>
  <c r="K68" i="2"/>
  <c r="P68" i="2"/>
  <c r="J69" i="2"/>
  <c r="L69" i="2" s="1"/>
  <c r="K69" i="2"/>
  <c r="J70" i="2"/>
  <c r="L70" i="2" s="1"/>
  <c r="K70" i="2"/>
  <c r="P70" i="2"/>
  <c r="J71" i="2"/>
  <c r="L71" i="2" s="1"/>
  <c r="K71" i="2"/>
  <c r="P71" i="2"/>
  <c r="J72" i="2"/>
  <c r="L72" i="2" s="1"/>
  <c r="K72" i="2"/>
  <c r="P72" i="2"/>
  <c r="J73" i="2"/>
  <c r="L73" i="2" s="1"/>
  <c r="K73" i="2"/>
  <c r="P73" i="2"/>
  <c r="J74" i="2"/>
  <c r="L74" i="2" s="1"/>
  <c r="K74" i="2"/>
  <c r="P74" i="2"/>
  <c r="J75" i="2"/>
  <c r="L75" i="2" s="1"/>
  <c r="K75" i="2"/>
  <c r="P75" i="2"/>
  <c r="J76" i="2"/>
  <c r="L76" i="2" s="1"/>
  <c r="K76" i="2"/>
  <c r="P76" i="2"/>
  <c r="J77" i="2"/>
  <c r="L77" i="2" s="1"/>
  <c r="K77" i="2"/>
  <c r="J78" i="2"/>
  <c r="L78" i="2" s="1"/>
  <c r="K78" i="2"/>
  <c r="P78" i="2"/>
  <c r="J79" i="2"/>
  <c r="L79" i="2" s="1"/>
  <c r="K79" i="2"/>
  <c r="P79" i="2"/>
  <c r="J80" i="2"/>
  <c r="L80" i="2" s="1"/>
  <c r="K80" i="2"/>
  <c r="P80" i="2"/>
  <c r="J81" i="2"/>
  <c r="L81" i="2" s="1"/>
  <c r="K81" i="2"/>
  <c r="P81" i="2"/>
  <c r="J82" i="2"/>
  <c r="L82" i="2" s="1"/>
  <c r="K82" i="2"/>
  <c r="P82" i="2"/>
  <c r="J83" i="2"/>
  <c r="L83" i="2" s="1"/>
  <c r="K83" i="2"/>
  <c r="P83" i="2"/>
  <c r="J84" i="2"/>
  <c r="L84" i="2" s="1"/>
  <c r="K84" i="2"/>
  <c r="P84" i="2"/>
  <c r="J85" i="2"/>
  <c r="L85" i="2" s="1"/>
  <c r="K85" i="2"/>
  <c r="J86" i="2"/>
  <c r="L86" i="2" s="1"/>
  <c r="K86" i="2"/>
  <c r="P86" i="2"/>
  <c r="J87" i="2"/>
  <c r="L87" i="2" s="1"/>
  <c r="K87" i="2"/>
  <c r="P87" i="2"/>
  <c r="J89" i="2"/>
  <c r="L89" i="2" s="1"/>
  <c r="K89" i="2"/>
  <c r="J90" i="2"/>
  <c r="L90" i="2" s="1"/>
  <c r="K90" i="2"/>
  <c r="P90" i="2"/>
  <c r="J91" i="2"/>
  <c r="L91" i="2" s="1"/>
  <c r="K91" i="2"/>
  <c r="P91" i="2"/>
  <c r="J92" i="2"/>
  <c r="L92" i="2" s="1"/>
  <c r="K92" i="2"/>
  <c r="P92" i="2"/>
  <c r="J93" i="2"/>
  <c r="L93" i="2" s="1"/>
  <c r="K93" i="2"/>
  <c r="J94" i="2"/>
  <c r="L94" i="2" s="1"/>
  <c r="K94" i="2"/>
  <c r="P94" i="2"/>
  <c r="J95" i="2"/>
  <c r="L95" i="2" s="1"/>
  <c r="K95" i="2"/>
  <c r="P95" i="2"/>
  <c r="J96" i="2"/>
  <c r="L96" i="2" s="1"/>
  <c r="K96" i="2"/>
  <c r="P96" i="2"/>
  <c r="J97" i="2"/>
  <c r="L97" i="2" s="1"/>
  <c r="K97" i="2"/>
  <c r="P97" i="2"/>
  <c r="J98" i="2"/>
  <c r="L98" i="2" s="1"/>
  <c r="K98" i="2"/>
  <c r="P98" i="2"/>
  <c r="J99" i="2"/>
  <c r="L99" i="2" s="1"/>
  <c r="K99" i="2"/>
  <c r="P99" i="2"/>
  <c r="J100" i="2"/>
  <c r="L100" i="2" s="1"/>
  <c r="K100" i="2"/>
  <c r="P100" i="2"/>
  <c r="J101" i="2"/>
  <c r="L101" i="2" s="1"/>
  <c r="K101" i="2"/>
  <c r="J102" i="2"/>
  <c r="L102" i="2" s="1"/>
  <c r="K102" i="2"/>
  <c r="P102" i="2"/>
  <c r="J103" i="2"/>
  <c r="L103" i="2" s="1"/>
  <c r="K103" i="2"/>
  <c r="P103" i="2"/>
  <c r="J104" i="2"/>
  <c r="L104" i="2" s="1"/>
  <c r="K104" i="2"/>
  <c r="P104" i="2"/>
  <c r="J105" i="2"/>
  <c r="L105" i="2" s="1"/>
  <c r="K105" i="2"/>
  <c r="P105" i="2"/>
  <c r="J106" i="2"/>
  <c r="L106" i="2" s="1"/>
  <c r="K106" i="2"/>
  <c r="P106" i="2"/>
  <c r="J107" i="2"/>
  <c r="L107" i="2" s="1"/>
  <c r="K107" i="2"/>
  <c r="P107" i="2"/>
  <c r="J108" i="2"/>
  <c r="L108" i="2" s="1"/>
  <c r="K108" i="2"/>
  <c r="P108" i="2"/>
  <c r="J109" i="2"/>
  <c r="L109" i="2" s="1"/>
  <c r="K109" i="2"/>
  <c r="J110" i="2"/>
  <c r="L110" i="2" s="1"/>
  <c r="K110" i="2"/>
  <c r="P110" i="2"/>
  <c r="J111" i="2"/>
  <c r="L111" i="2" s="1"/>
  <c r="K111" i="2"/>
  <c r="P111" i="2"/>
  <c r="J112" i="2"/>
  <c r="L112" i="2" s="1"/>
  <c r="K112" i="2"/>
  <c r="P112" i="2"/>
  <c r="J113" i="2"/>
  <c r="L113" i="2" s="1"/>
  <c r="K113" i="2"/>
  <c r="P113" i="2"/>
  <c r="J115" i="2"/>
  <c r="L115" i="2" s="1"/>
  <c r="K115" i="2"/>
  <c r="J116" i="2"/>
  <c r="L116" i="2" s="1"/>
  <c r="K116" i="2"/>
  <c r="P116" i="2"/>
  <c r="J117" i="2"/>
  <c r="L117" i="2" s="1"/>
  <c r="K117" i="2"/>
  <c r="P117" i="2"/>
  <c r="J118" i="2"/>
  <c r="L118" i="2" s="1"/>
  <c r="K118" i="2"/>
  <c r="P118" i="2"/>
  <c r="J119" i="2"/>
  <c r="L119" i="2" s="1"/>
  <c r="K119" i="2"/>
  <c r="P119" i="2"/>
  <c r="J120" i="2"/>
  <c r="L120" i="2" s="1"/>
  <c r="K120" i="2"/>
  <c r="P120" i="2"/>
  <c r="J121" i="2"/>
  <c r="L121" i="2" s="1"/>
  <c r="K121" i="2"/>
  <c r="P121" i="2"/>
  <c r="J122" i="2"/>
  <c r="L122" i="2" s="1"/>
  <c r="K122" i="2"/>
  <c r="P122" i="2"/>
  <c r="J123" i="2"/>
  <c r="L123" i="2" s="1"/>
  <c r="K123" i="2"/>
  <c r="P123" i="2"/>
  <c r="J124" i="2"/>
  <c r="L124" i="2" s="1"/>
  <c r="K124" i="2"/>
  <c r="P124" i="2"/>
  <c r="J125" i="2"/>
  <c r="L125" i="2" s="1"/>
  <c r="K125" i="2"/>
  <c r="P125" i="2"/>
  <c r="J126" i="2"/>
  <c r="L126" i="2" s="1"/>
  <c r="K126" i="2"/>
  <c r="P126" i="2"/>
  <c r="J127" i="2"/>
  <c r="L127" i="2" s="1"/>
  <c r="K127" i="2"/>
  <c r="P127" i="2"/>
  <c r="J128" i="2"/>
  <c r="L128" i="2" s="1"/>
  <c r="K128" i="2"/>
  <c r="P128" i="2"/>
  <c r="J129" i="2"/>
  <c r="L129" i="2" s="1"/>
  <c r="K129" i="2"/>
  <c r="P129" i="2"/>
  <c r="J130" i="2"/>
  <c r="L130" i="2" s="1"/>
  <c r="K130" i="2"/>
  <c r="P130" i="2"/>
  <c r="J131" i="2"/>
  <c r="L131" i="2" s="1"/>
  <c r="K131" i="2"/>
  <c r="P131" i="2"/>
  <c r="J133" i="2"/>
  <c r="L133" i="2" s="1"/>
  <c r="K133" i="2"/>
  <c r="P133" i="2"/>
  <c r="J134" i="2"/>
  <c r="L134" i="2" s="1"/>
  <c r="K134" i="2"/>
  <c r="P134" i="2"/>
  <c r="J135" i="2"/>
  <c r="L135" i="2" s="1"/>
  <c r="K135" i="2"/>
  <c r="P135" i="2"/>
  <c r="J136" i="2"/>
  <c r="L136" i="2" s="1"/>
  <c r="K136" i="2"/>
  <c r="P136" i="2"/>
  <c r="J137" i="2"/>
  <c r="L137" i="2" s="1"/>
  <c r="K137" i="2"/>
  <c r="P137" i="2"/>
  <c r="J138" i="2"/>
  <c r="L138" i="2" s="1"/>
  <c r="K138" i="2"/>
  <c r="P138" i="2"/>
  <c r="J139" i="2"/>
  <c r="L139" i="2" s="1"/>
  <c r="K139" i="2"/>
  <c r="P139" i="2"/>
  <c r="J140" i="2"/>
  <c r="L140" i="2" s="1"/>
  <c r="K140" i="2"/>
  <c r="P140" i="2"/>
  <c r="J141" i="2"/>
  <c r="L141" i="2" s="1"/>
  <c r="K141" i="2"/>
  <c r="P141" i="2"/>
  <c r="J142" i="2"/>
  <c r="L142" i="2" s="1"/>
  <c r="K142" i="2"/>
  <c r="P142" i="2"/>
  <c r="J143" i="2"/>
  <c r="L143" i="2" s="1"/>
  <c r="K143" i="2"/>
  <c r="P143" i="2"/>
  <c r="J144" i="2"/>
  <c r="L144" i="2" s="1"/>
  <c r="K144" i="2"/>
  <c r="P144" i="2"/>
  <c r="J145" i="2"/>
  <c r="L145" i="2" s="1"/>
  <c r="K145" i="2"/>
  <c r="P145" i="2"/>
  <c r="J146" i="2"/>
  <c r="L146" i="2" s="1"/>
  <c r="K146" i="2"/>
  <c r="P146" i="2"/>
  <c r="J147" i="2"/>
  <c r="L147" i="2" s="1"/>
  <c r="K147" i="2"/>
  <c r="P147" i="2"/>
  <c r="J148" i="2"/>
  <c r="L148" i="2" s="1"/>
  <c r="K148" i="2"/>
  <c r="P148" i="2"/>
  <c r="J149" i="2"/>
  <c r="L149" i="2" s="1"/>
  <c r="K149" i="2"/>
  <c r="P149" i="2"/>
  <c r="J150" i="2"/>
  <c r="L150" i="2" s="1"/>
  <c r="K150" i="2"/>
  <c r="P150" i="2"/>
  <c r="J151" i="2"/>
  <c r="L151" i="2" s="1"/>
  <c r="K151" i="2"/>
  <c r="P151" i="2"/>
  <c r="J152" i="2"/>
  <c r="L152" i="2" s="1"/>
  <c r="K152" i="2"/>
  <c r="P152" i="2"/>
  <c r="J153" i="2"/>
  <c r="L153" i="2" s="1"/>
  <c r="K153" i="2"/>
  <c r="P153" i="2"/>
  <c r="J154" i="2"/>
  <c r="L154" i="2" s="1"/>
  <c r="K154" i="2"/>
  <c r="P154" i="2"/>
  <c r="J155" i="2"/>
  <c r="L155" i="2" s="1"/>
  <c r="F155" i="3"/>
  <c r="P155" i="2"/>
  <c r="J156" i="2"/>
  <c r="L156" i="2" s="1"/>
  <c r="K156" i="2"/>
  <c r="P156" i="2"/>
  <c r="J157" i="2"/>
  <c r="L157" i="2" s="1"/>
  <c r="K157" i="2"/>
  <c r="P157" i="2"/>
  <c r="J159" i="2"/>
  <c r="L159" i="2" s="1"/>
  <c r="K159" i="2"/>
  <c r="P159" i="2"/>
  <c r="J160" i="2"/>
  <c r="L160" i="2" s="1"/>
  <c r="K160" i="2"/>
  <c r="P160" i="2"/>
  <c r="J162" i="2"/>
  <c r="L162" i="2" s="1"/>
  <c r="K162" i="2"/>
  <c r="P162" i="2"/>
  <c r="J163" i="2"/>
  <c r="L163" i="2" s="1"/>
  <c r="K163" i="2"/>
  <c r="P163" i="2"/>
  <c r="J164" i="2"/>
  <c r="L164" i="2" s="1"/>
  <c r="K164" i="2"/>
  <c r="P164" i="2"/>
  <c r="J165" i="2"/>
  <c r="L165" i="2" s="1"/>
  <c r="K165" i="2"/>
  <c r="P165" i="2"/>
  <c r="J167" i="2"/>
  <c r="K167" i="2"/>
  <c r="J168" i="2"/>
  <c r="L168" i="2" s="1"/>
  <c r="K168" i="2"/>
  <c r="P168" i="2"/>
  <c r="J169" i="2"/>
  <c r="L169" i="2" s="1"/>
  <c r="K169" i="2"/>
  <c r="P169" i="2"/>
  <c r="J170" i="2"/>
  <c r="L170" i="2" s="1"/>
  <c r="K170" i="2"/>
  <c r="P170" i="2"/>
  <c r="J171" i="2"/>
  <c r="L171" i="2" s="1"/>
  <c r="K171" i="2"/>
  <c r="P171" i="2"/>
  <c r="J172" i="2"/>
  <c r="L172" i="2" s="1"/>
  <c r="K172" i="2"/>
  <c r="P172" i="2"/>
  <c r="J173" i="2"/>
  <c r="L173" i="2" s="1"/>
  <c r="K173" i="2"/>
  <c r="P173" i="2"/>
  <c r="J174" i="2"/>
  <c r="L174" i="2" s="1"/>
  <c r="K174" i="2"/>
  <c r="P174" i="2"/>
  <c r="J175" i="2"/>
  <c r="L175" i="2" s="1"/>
  <c r="K175" i="2"/>
  <c r="P175" i="2"/>
  <c r="J176" i="2"/>
  <c r="L176" i="2" s="1"/>
  <c r="K176" i="2"/>
  <c r="P176" i="2"/>
  <c r="J177" i="2"/>
  <c r="L177" i="2" s="1"/>
  <c r="K177" i="2"/>
  <c r="P177" i="2"/>
  <c r="J178" i="2"/>
  <c r="L178" i="2" s="1"/>
  <c r="K178" i="2"/>
  <c r="P178" i="2"/>
  <c r="J179" i="2"/>
  <c r="L179" i="2" s="1"/>
  <c r="K179" i="2"/>
  <c r="P179" i="2"/>
  <c r="J180" i="2"/>
  <c r="L180" i="2" s="1"/>
  <c r="K180" i="2"/>
  <c r="J182" i="2"/>
  <c r="L182" i="2" s="1"/>
  <c r="K182" i="2"/>
  <c r="P182" i="2"/>
  <c r="J183" i="2"/>
  <c r="L183" i="2" s="1"/>
  <c r="K183" i="2"/>
  <c r="P183" i="2"/>
  <c r="J184" i="2"/>
  <c r="L184" i="2" s="1"/>
  <c r="K184" i="2"/>
  <c r="P184" i="2"/>
  <c r="J185" i="2"/>
  <c r="L185" i="2" s="1"/>
  <c r="K185" i="2"/>
  <c r="P185" i="2"/>
  <c r="J186" i="2"/>
  <c r="L186" i="2" s="1"/>
  <c r="K186" i="2"/>
  <c r="P186" i="2"/>
  <c r="J187" i="2"/>
  <c r="L187" i="2" s="1"/>
  <c r="K187" i="2"/>
  <c r="P187" i="2"/>
  <c r="J188" i="2"/>
  <c r="L188" i="2" s="1"/>
  <c r="K188" i="2"/>
  <c r="P188" i="2"/>
  <c r="J189" i="2"/>
  <c r="L189" i="2" s="1"/>
  <c r="K189" i="2"/>
  <c r="P189" i="2"/>
  <c r="J190" i="2"/>
  <c r="L190" i="2" s="1"/>
  <c r="K190" i="2"/>
  <c r="P190" i="2"/>
  <c r="J191" i="2"/>
  <c r="L191" i="2" s="1"/>
  <c r="K191" i="2"/>
  <c r="P191" i="2"/>
  <c r="J192" i="2"/>
  <c r="L192" i="2" s="1"/>
  <c r="K192" i="2"/>
  <c r="P192" i="2"/>
  <c r="J193" i="2"/>
  <c r="L193" i="2" s="1"/>
  <c r="K193" i="2"/>
  <c r="P193" i="2"/>
  <c r="J194" i="2"/>
  <c r="L194" i="2" s="1"/>
  <c r="K194" i="2"/>
  <c r="P194" i="2"/>
  <c r="J195" i="2"/>
  <c r="L195" i="2" s="1"/>
  <c r="K195" i="2"/>
  <c r="P195" i="2"/>
  <c r="J196" i="2"/>
  <c r="L196" i="2" s="1"/>
  <c r="K196" i="2"/>
  <c r="P196" i="2"/>
  <c r="J197" i="2"/>
  <c r="L197" i="2" s="1"/>
  <c r="K197" i="2"/>
  <c r="P197" i="2"/>
  <c r="J198" i="2"/>
  <c r="L198" i="2" s="1"/>
  <c r="K198" i="2"/>
  <c r="P198" i="2"/>
  <c r="J199" i="2"/>
  <c r="L199" i="2" s="1"/>
  <c r="K199" i="2"/>
  <c r="P199" i="2"/>
  <c r="J200" i="2"/>
  <c r="L200" i="2" s="1"/>
  <c r="K200" i="2"/>
  <c r="P200" i="2"/>
  <c r="J201" i="2"/>
  <c r="L201" i="2" s="1"/>
  <c r="K201" i="2"/>
  <c r="P201" i="2"/>
  <c r="J202" i="2"/>
  <c r="L202" i="2" s="1"/>
  <c r="K202" i="2"/>
  <c r="P202" i="2"/>
  <c r="J203" i="2"/>
  <c r="L203" i="2" s="1"/>
  <c r="K203" i="2"/>
  <c r="P203" i="2"/>
  <c r="J204" i="2"/>
  <c r="L204" i="2" s="1"/>
  <c r="K204" i="2"/>
  <c r="P204" i="2"/>
  <c r="J205" i="2"/>
  <c r="L205" i="2" s="1"/>
  <c r="K205" i="2"/>
  <c r="P205" i="2"/>
  <c r="J206" i="2"/>
  <c r="L206" i="2" s="1"/>
  <c r="K206" i="2"/>
  <c r="P206" i="2"/>
  <c r="J207" i="2"/>
  <c r="L207" i="2" s="1"/>
  <c r="K207" i="2"/>
  <c r="P207" i="2"/>
  <c r="J208" i="2"/>
  <c r="L208" i="2" s="1"/>
  <c r="K208" i="2"/>
  <c r="P208" i="2"/>
  <c r="J209" i="2"/>
  <c r="L209" i="2" s="1"/>
  <c r="K209" i="2"/>
  <c r="P209" i="2"/>
  <c r="J210" i="2"/>
  <c r="L210" i="2" s="1"/>
  <c r="K210" i="2"/>
  <c r="P210" i="2"/>
  <c r="J211" i="2"/>
  <c r="L211" i="2" s="1"/>
  <c r="K211" i="2"/>
  <c r="P211" i="2"/>
  <c r="J212" i="2"/>
  <c r="L212" i="2" s="1"/>
  <c r="K212" i="2"/>
  <c r="P212" i="2"/>
  <c r="J213" i="2"/>
  <c r="L213" i="2" s="1"/>
  <c r="K213" i="2"/>
  <c r="P213" i="2"/>
  <c r="J214" i="2"/>
  <c r="L214" i="2" s="1"/>
  <c r="K214" i="2"/>
  <c r="P214" i="2"/>
  <c r="J215" i="2"/>
  <c r="L215" i="2" s="1"/>
  <c r="K215" i="2"/>
  <c r="P215" i="2"/>
  <c r="J216" i="2"/>
  <c r="L216" i="2" s="1"/>
  <c r="K216" i="2"/>
  <c r="P216" i="2"/>
  <c r="J217" i="2"/>
  <c r="L217" i="2" s="1"/>
  <c r="K217" i="2"/>
  <c r="P217" i="2"/>
  <c r="J218" i="2"/>
  <c r="L218" i="2" s="1"/>
  <c r="K218" i="2"/>
  <c r="P218" i="2"/>
  <c r="J219" i="2"/>
  <c r="L219" i="2" s="1"/>
  <c r="K219" i="2"/>
  <c r="P219" i="2"/>
  <c r="J220" i="2"/>
  <c r="L220" i="2" s="1"/>
  <c r="K220" i="2"/>
  <c r="P220" i="2"/>
  <c r="J221" i="2"/>
  <c r="L221" i="2" s="1"/>
  <c r="K221" i="2"/>
  <c r="P221" i="2"/>
  <c r="J222" i="2"/>
  <c r="L222" i="2" s="1"/>
  <c r="K222" i="2"/>
  <c r="P222" i="2"/>
  <c r="J223" i="2"/>
  <c r="L223" i="2" s="1"/>
  <c r="K223" i="2"/>
  <c r="P223" i="2"/>
  <c r="J224" i="2"/>
  <c r="L224" i="2" s="1"/>
  <c r="K224" i="2"/>
  <c r="P224" i="2"/>
  <c r="J225" i="2"/>
  <c r="L225" i="2" s="1"/>
  <c r="K225" i="2"/>
  <c r="P225" i="2"/>
  <c r="J227" i="2"/>
  <c r="L227" i="2" s="1"/>
  <c r="K227" i="2"/>
  <c r="J227" i="3" s="1"/>
  <c r="P227" i="2"/>
  <c r="J228" i="2"/>
  <c r="L228" i="2" s="1"/>
  <c r="K228" i="2"/>
  <c r="P228" i="2"/>
  <c r="J230" i="2"/>
  <c r="L230" i="2" s="1"/>
  <c r="K230" i="2"/>
  <c r="J231" i="2"/>
  <c r="L231" i="2" s="1"/>
  <c r="K231" i="2"/>
  <c r="P231" i="2"/>
  <c r="J232" i="2"/>
  <c r="L232" i="2" s="1"/>
  <c r="K232" i="2"/>
  <c r="P232" i="2"/>
  <c r="J233" i="2"/>
  <c r="L233" i="2" s="1"/>
  <c r="K233" i="2"/>
  <c r="P233" i="2"/>
  <c r="J235" i="2"/>
  <c r="L235" i="2" s="1"/>
  <c r="K235" i="2"/>
  <c r="P235" i="2"/>
  <c r="J236" i="2"/>
  <c r="L236" i="2" s="1"/>
  <c r="K236" i="2"/>
  <c r="P236" i="2"/>
  <c r="J237" i="2"/>
  <c r="L237" i="2" s="1"/>
  <c r="K237" i="2"/>
  <c r="P237" i="2"/>
  <c r="J238" i="2"/>
  <c r="L238" i="2" s="1"/>
  <c r="K238" i="2"/>
  <c r="P238" i="2"/>
  <c r="J239" i="2"/>
  <c r="L239" i="2" s="1"/>
  <c r="K239" i="2"/>
  <c r="P239" i="2"/>
  <c r="J240" i="2"/>
  <c r="L240" i="2" s="1"/>
  <c r="K240" i="2"/>
  <c r="P240" i="2"/>
  <c r="J241" i="2"/>
  <c r="L241" i="2" s="1"/>
  <c r="K241" i="2"/>
  <c r="P241" i="2"/>
  <c r="J242" i="2"/>
  <c r="L242" i="2" s="1"/>
  <c r="K242" i="2"/>
  <c r="P242" i="2"/>
  <c r="J243" i="2"/>
  <c r="L243" i="2" s="1"/>
  <c r="K243" i="2"/>
  <c r="P243" i="2"/>
  <c r="J245" i="2"/>
  <c r="L245" i="2" s="1"/>
  <c r="K245" i="2"/>
  <c r="F20" i="5"/>
  <c r="P158" i="2" l="1"/>
  <c r="Q233" i="2"/>
  <c r="F233" i="3" s="1"/>
  <c r="J233" i="3"/>
  <c r="Q162" i="2"/>
  <c r="F162" i="3" s="1"/>
  <c r="J162" i="3"/>
  <c r="P162" i="3" s="1"/>
  <c r="Q148" i="2"/>
  <c r="F148" i="3" s="1"/>
  <c r="J148" i="3"/>
  <c r="Q134" i="2"/>
  <c r="F134" i="3" s="1"/>
  <c r="J134" i="3"/>
  <c r="Q119" i="2"/>
  <c r="F119" i="3" s="1"/>
  <c r="J119" i="3"/>
  <c r="Q85" i="2"/>
  <c r="F85" i="3" s="1"/>
  <c r="J85" i="3"/>
  <c r="P85" i="3" s="1"/>
  <c r="Q179" i="2"/>
  <c r="F179" i="3" s="1"/>
  <c r="J179" i="3"/>
  <c r="Q177" i="2"/>
  <c r="F177" i="3" s="1"/>
  <c r="J177" i="3"/>
  <c r="Q175" i="2"/>
  <c r="F175" i="3" s="1"/>
  <c r="J175" i="3"/>
  <c r="P175" i="3" s="1"/>
  <c r="Q173" i="2"/>
  <c r="F173" i="3" s="1"/>
  <c r="J173" i="3"/>
  <c r="P173" i="3" s="1"/>
  <c r="Q171" i="2"/>
  <c r="F171" i="3" s="1"/>
  <c r="J171" i="3"/>
  <c r="P171" i="3" s="1"/>
  <c r="Q169" i="2"/>
  <c r="F169" i="3" s="1"/>
  <c r="J169" i="3"/>
  <c r="P169" i="3" s="1"/>
  <c r="Q109" i="2"/>
  <c r="F109" i="3" s="1"/>
  <c r="J109" i="3"/>
  <c r="P109" i="3" s="1"/>
  <c r="Q107" i="2"/>
  <c r="F107" i="3" s="1"/>
  <c r="J107" i="3"/>
  <c r="P107" i="3" s="1"/>
  <c r="Q105" i="2"/>
  <c r="F105" i="3" s="1"/>
  <c r="J105" i="3"/>
  <c r="P105" i="3" s="1"/>
  <c r="Q103" i="2"/>
  <c r="F103" i="3" s="1"/>
  <c r="J103" i="3"/>
  <c r="P103" i="3" s="1"/>
  <c r="Q87" i="2"/>
  <c r="F87" i="3" s="1"/>
  <c r="J87" i="3"/>
  <c r="P87" i="3" s="1"/>
  <c r="Q68" i="2"/>
  <c r="F68" i="3" s="1"/>
  <c r="J68" i="3"/>
  <c r="P68" i="3" s="1"/>
  <c r="Q66" i="2"/>
  <c r="F66" i="3" s="1"/>
  <c r="J66" i="3"/>
  <c r="P66" i="3" s="1"/>
  <c r="Q64" i="2"/>
  <c r="F64" i="3" s="1"/>
  <c r="J64" i="3"/>
  <c r="P64" i="3" s="1"/>
  <c r="Q62" i="2"/>
  <c r="F62" i="3" s="1"/>
  <c r="M62" i="3" s="1"/>
  <c r="J62" i="3"/>
  <c r="Q45" i="2"/>
  <c r="F45" i="3" s="1"/>
  <c r="J45" i="3"/>
  <c r="K45" i="3" s="1"/>
  <c r="I45" i="3" s="1"/>
  <c r="Q43" i="2"/>
  <c r="F43" i="3" s="1"/>
  <c r="J43" i="3"/>
  <c r="P43" i="3" s="1"/>
  <c r="Q41" i="2"/>
  <c r="F41" i="3" s="1"/>
  <c r="J41" i="3"/>
  <c r="Q39" i="2"/>
  <c r="F39" i="3" s="1"/>
  <c r="J39" i="3"/>
  <c r="Q236" i="2"/>
  <c r="F236" i="3" s="1"/>
  <c r="J236" i="3"/>
  <c r="P236" i="3" s="1"/>
  <c r="Q164" i="2"/>
  <c r="F164" i="3" s="1"/>
  <c r="J164" i="3"/>
  <c r="Q154" i="2"/>
  <c r="F154" i="3" s="1"/>
  <c r="J154" i="3"/>
  <c r="K154" i="3" s="1"/>
  <c r="I154" i="3" s="1"/>
  <c r="Q142" i="2"/>
  <c r="F142" i="3" s="1"/>
  <c r="M142" i="3" s="1"/>
  <c r="J142" i="3"/>
  <c r="Q131" i="2"/>
  <c r="F131" i="3" s="1"/>
  <c r="M131" i="3" s="1"/>
  <c r="J131" i="3"/>
  <c r="Q121" i="2"/>
  <c r="F121" i="3" s="1"/>
  <c r="J121" i="3"/>
  <c r="K121" i="3" s="1"/>
  <c r="I121" i="3" s="1"/>
  <c r="Q60" i="2"/>
  <c r="F60" i="3" s="1"/>
  <c r="J60" i="3"/>
  <c r="P60" i="3" s="1"/>
  <c r="Q35" i="2"/>
  <c r="F35" i="3" s="1"/>
  <c r="J35" i="3"/>
  <c r="Q11" i="2"/>
  <c r="F11" i="3" s="1"/>
  <c r="J11" i="3"/>
  <c r="K11" i="3" s="1"/>
  <c r="I11" i="3" s="1"/>
  <c r="Q230" i="2"/>
  <c r="F230" i="3" s="1"/>
  <c r="J230" i="3"/>
  <c r="H227" i="3"/>
  <c r="J227" i="4"/>
  <c r="H227" i="4" s="1"/>
  <c r="Q224" i="2"/>
  <c r="F224" i="3" s="1"/>
  <c r="J224" i="3"/>
  <c r="P224" i="3" s="1"/>
  <c r="Q222" i="2"/>
  <c r="F222" i="3" s="1"/>
  <c r="M222" i="3" s="1"/>
  <c r="J222" i="3"/>
  <c r="Q220" i="2"/>
  <c r="F220" i="3" s="1"/>
  <c r="J220" i="3"/>
  <c r="P220" i="3" s="1"/>
  <c r="Q218" i="2"/>
  <c r="F218" i="3" s="1"/>
  <c r="J218" i="3"/>
  <c r="P218" i="3" s="1"/>
  <c r="Q216" i="2"/>
  <c r="F216" i="3" s="1"/>
  <c r="J216" i="3"/>
  <c r="P216" i="3" s="1"/>
  <c r="Q214" i="2"/>
  <c r="F214" i="3" s="1"/>
  <c r="J214" i="3"/>
  <c r="Q212" i="2"/>
  <c r="F212" i="3" s="1"/>
  <c r="J212" i="3"/>
  <c r="P212" i="3" s="1"/>
  <c r="Q210" i="2"/>
  <c r="F210" i="3" s="1"/>
  <c r="J210" i="3"/>
  <c r="P210" i="3" s="1"/>
  <c r="Q208" i="2"/>
  <c r="F208" i="3" s="1"/>
  <c r="J208" i="3"/>
  <c r="Q206" i="2"/>
  <c r="F206" i="3" s="1"/>
  <c r="J206" i="3"/>
  <c r="P206" i="3" s="1"/>
  <c r="Q204" i="2"/>
  <c r="F204" i="3" s="1"/>
  <c r="J204" i="3"/>
  <c r="P204" i="3" s="1"/>
  <c r="Q202" i="2"/>
  <c r="F202" i="3" s="1"/>
  <c r="J202" i="3"/>
  <c r="P202" i="3" s="1"/>
  <c r="Q200" i="2"/>
  <c r="F200" i="3" s="1"/>
  <c r="J200" i="3"/>
  <c r="P200" i="3" s="1"/>
  <c r="Q198" i="2"/>
  <c r="F198" i="3" s="1"/>
  <c r="J198" i="3"/>
  <c r="P198" i="3" s="1"/>
  <c r="Q196" i="2"/>
  <c r="F196" i="3" s="1"/>
  <c r="M196" i="3" s="1"/>
  <c r="J196" i="3"/>
  <c r="Q194" i="2"/>
  <c r="F194" i="3" s="1"/>
  <c r="J194" i="3"/>
  <c r="P194" i="3" s="1"/>
  <c r="Q192" i="2"/>
  <c r="F192" i="3" s="1"/>
  <c r="J192" i="3"/>
  <c r="P192" i="3" s="1"/>
  <c r="Q190" i="2"/>
  <c r="F190" i="3" s="1"/>
  <c r="J190" i="3"/>
  <c r="P190" i="3" s="1"/>
  <c r="Q188" i="2"/>
  <c r="F188" i="3" s="1"/>
  <c r="J188" i="3"/>
  <c r="P188" i="3" s="1"/>
  <c r="Q186" i="2"/>
  <c r="F186" i="3" s="1"/>
  <c r="J186" i="3"/>
  <c r="P186" i="3" s="1"/>
  <c r="Q184" i="2"/>
  <c r="F184" i="3" s="1"/>
  <c r="J184" i="3"/>
  <c r="P184" i="3" s="1"/>
  <c r="Q182" i="2"/>
  <c r="F182" i="3" s="1"/>
  <c r="J182" i="3"/>
  <c r="K182" i="3" s="1"/>
  <c r="I182" i="3" s="1"/>
  <c r="Q113" i="2"/>
  <c r="F113" i="3" s="1"/>
  <c r="J113" i="3"/>
  <c r="P113" i="3" s="1"/>
  <c r="Q111" i="2"/>
  <c r="F111" i="3" s="1"/>
  <c r="J111" i="3"/>
  <c r="Q92" i="2"/>
  <c r="F92" i="3" s="1"/>
  <c r="J92" i="3"/>
  <c r="P92" i="3" s="1"/>
  <c r="Q90" i="2"/>
  <c r="F90" i="3" s="1"/>
  <c r="J90" i="3"/>
  <c r="P90" i="3" s="1"/>
  <c r="Q76" i="2"/>
  <c r="F76" i="3" s="1"/>
  <c r="J76" i="3"/>
  <c r="Q74" i="2"/>
  <c r="F74" i="3" s="1"/>
  <c r="J74" i="3"/>
  <c r="P74" i="3" s="1"/>
  <c r="Q72" i="2"/>
  <c r="F72" i="3" s="1"/>
  <c r="J72" i="3"/>
  <c r="P72" i="3" s="1"/>
  <c r="Q70" i="2"/>
  <c r="F70" i="3" s="1"/>
  <c r="J70" i="3"/>
  <c r="P70" i="3" s="1"/>
  <c r="Q53" i="2"/>
  <c r="F53" i="3" s="1"/>
  <c r="J53" i="3"/>
  <c r="Q51" i="2"/>
  <c r="F51" i="3" s="1"/>
  <c r="J51" i="3"/>
  <c r="Q49" i="2"/>
  <c r="F49" i="3" s="1"/>
  <c r="M49" i="3" s="1"/>
  <c r="J49" i="3"/>
  <c r="Q47" i="2"/>
  <c r="F47" i="3" s="1"/>
  <c r="J47" i="3"/>
  <c r="K47" i="3" s="1"/>
  <c r="I47" i="3" s="1"/>
  <c r="Q28" i="2"/>
  <c r="F28" i="3" s="1"/>
  <c r="M28" i="3" s="1"/>
  <c r="J28" i="3"/>
  <c r="P28" i="3" s="1"/>
  <c r="Q26" i="2"/>
  <c r="F26" i="3" s="1"/>
  <c r="M26" i="3" s="1"/>
  <c r="J26" i="3"/>
  <c r="Q24" i="2"/>
  <c r="F24" i="3" s="1"/>
  <c r="J24" i="3"/>
  <c r="Q22" i="2"/>
  <c r="F22" i="3" s="1"/>
  <c r="M22" i="3" s="1"/>
  <c r="J22" i="3"/>
  <c r="Q20" i="2"/>
  <c r="F20" i="3" s="1"/>
  <c r="J20" i="3"/>
  <c r="Q10" i="2"/>
  <c r="F10" i="3" s="1"/>
  <c r="J10" i="3"/>
  <c r="K10" i="3" s="1"/>
  <c r="I10" i="3" s="1"/>
  <c r="Q240" i="2"/>
  <c r="F240" i="3" s="1"/>
  <c r="M240" i="3" s="1"/>
  <c r="J240" i="3"/>
  <c r="P240" i="3" s="1"/>
  <c r="Q156" i="2"/>
  <c r="F156" i="3" s="1"/>
  <c r="J156" i="3"/>
  <c r="Q150" i="2"/>
  <c r="F150" i="3" s="1"/>
  <c r="J150" i="3"/>
  <c r="P150" i="3" s="1"/>
  <c r="Q144" i="2"/>
  <c r="F144" i="3" s="1"/>
  <c r="M144" i="3" s="1"/>
  <c r="J144" i="3"/>
  <c r="P144" i="3" s="1"/>
  <c r="Q138" i="2"/>
  <c r="F138" i="3" s="1"/>
  <c r="J138" i="3"/>
  <c r="Q129" i="2"/>
  <c r="F129" i="3" s="1"/>
  <c r="J129" i="3"/>
  <c r="P129" i="3" s="1"/>
  <c r="Q125" i="2"/>
  <c r="F125" i="3" s="1"/>
  <c r="M125" i="3" s="1"/>
  <c r="J125" i="3"/>
  <c r="P125" i="3" s="1"/>
  <c r="Q117" i="2"/>
  <c r="F117" i="3" s="1"/>
  <c r="M117" i="3" s="1"/>
  <c r="J117" i="3"/>
  <c r="P117" i="3" s="1"/>
  <c r="Q99" i="2"/>
  <c r="F99" i="3" s="1"/>
  <c r="J99" i="3"/>
  <c r="P99" i="3" s="1"/>
  <c r="Q95" i="2"/>
  <c r="F95" i="3" s="1"/>
  <c r="M95" i="3" s="1"/>
  <c r="J95" i="3"/>
  <c r="P95" i="3" s="1"/>
  <c r="Q81" i="2"/>
  <c r="F81" i="3" s="1"/>
  <c r="J81" i="3"/>
  <c r="Q79" i="2"/>
  <c r="F79" i="3" s="1"/>
  <c r="J79" i="3"/>
  <c r="Q56" i="2"/>
  <c r="F56" i="3" s="1"/>
  <c r="M56" i="3" s="1"/>
  <c r="J56" i="3"/>
  <c r="P56" i="3" s="1"/>
  <c r="Q54" i="2"/>
  <c r="F54" i="3" s="1"/>
  <c r="J54" i="3"/>
  <c r="P54" i="3" s="1"/>
  <c r="Q31" i="2"/>
  <c r="F31" i="3" s="1"/>
  <c r="J31" i="3"/>
  <c r="P31" i="3" s="1"/>
  <c r="Q239" i="2"/>
  <c r="F239" i="3" s="1"/>
  <c r="J239" i="3"/>
  <c r="P239" i="3" s="1"/>
  <c r="Q235" i="2"/>
  <c r="F235" i="3" s="1"/>
  <c r="J235" i="3"/>
  <c r="Q165" i="2"/>
  <c r="F165" i="3" s="1"/>
  <c r="J165" i="3"/>
  <c r="P165" i="3" s="1"/>
  <c r="Q163" i="2"/>
  <c r="F163" i="3" s="1"/>
  <c r="J163" i="3"/>
  <c r="P163" i="3" s="1"/>
  <c r="Q160" i="2"/>
  <c r="F160" i="3" s="1"/>
  <c r="J160" i="3"/>
  <c r="Q157" i="2"/>
  <c r="F157" i="3" s="1"/>
  <c r="J157" i="3"/>
  <c r="P157" i="3" s="1"/>
  <c r="Q153" i="2"/>
  <c r="F153" i="3" s="1"/>
  <c r="J153" i="3"/>
  <c r="P153" i="3" s="1"/>
  <c r="Q151" i="2"/>
  <c r="F151" i="3" s="1"/>
  <c r="J151" i="3"/>
  <c r="P151" i="3" s="1"/>
  <c r="Q149" i="2"/>
  <c r="F149" i="3" s="1"/>
  <c r="J149" i="3"/>
  <c r="P149" i="3" s="1"/>
  <c r="Q147" i="2"/>
  <c r="F147" i="3" s="1"/>
  <c r="M147" i="3" s="1"/>
  <c r="J147" i="3"/>
  <c r="P147" i="3" s="1"/>
  <c r="Q145" i="2"/>
  <c r="F145" i="3" s="1"/>
  <c r="J145" i="3"/>
  <c r="P145" i="3" s="1"/>
  <c r="Q143" i="2"/>
  <c r="F143" i="3" s="1"/>
  <c r="J143" i="3"/>
  <c r="P143" i="3" s="1"/>
  <c r="Q141" i="2"/>
  <c r="F141" i="3" s="1"/>
  <c r="J141" i="3"/>
  <c r="P141" i="3" s="1"/>
  <c r="Q139" i="2"/>
  <c r="F139" i="3" s="1"/>
  <c r="J139" i="3"/>
  <c r="Q137" i="2"/>
  <c r="F137" i="3" s="1"/>
  <c r="J137" i="3"/>
  <c r="P137" i="3" s="1"/>
  <c r="Q135" i="2"/>
  <c r="F135" i="3" s="1"/>
  <c r="J135" i="3"/>
  <c r="P135" i="3" s="1"/>
  <c r="Q133" i="2"/>
  <c r="F133" i="3" s="1"/>
  <c r="J133" i="3"/>
  <c r="Q130" i="2"/>
  <c r="F130" i="3" s="1"/>
  <c r="J130" i="3"/>
  <c r="K130" i="3" s="1"/>
  <c r="I130" i="3" s="1"/>
  <c r="Q128" i="2"/>
  <c r="F128" i="3" s="1"/>
  <c r="M128" i="3" s="1"/>
  <c r="J128" i="3"/>
  <c r="P128" i="3" s="1"/>
  <c r="Q126" i="2"/>
  <c r="F126" i="3" s="1"/>
  <c r="M126" i="3" s="1"/>
  <c r="J126" i="3"/>
  <c r="P126" i="3" s="1"/>
  <c r="Q124" i="2"/>
  <c r="F124" i="3" s="1"/>
  <c r="J124" i="3"/>
  <c r="K124" i="3" s="1"/>
  <c r="I124" i="3" s="1"/>
  <c r="Q122" i="2"/>
  <c r="F122" i="3" s="1"/>
  <c r="M122" i="3" s="1"/>
  <c r="J122" i="3"/>
  <c r="P122" i="3" s="1"/>
  <c r="Q120" i="2"/>
  <c r="F120" i="3" s="1"/>
  <c r="J120" i="3"/>
  <c r="Q118" i="2"/>
  <c r="F118" i="3" s="1"/>
  <c r="J118" i="3"/>
  <c r="P118" i="3" s="1"/>
  <c r="Q116" i="2"/>
  <c r="F116" i="3" s="1"/>
  <c r="M116" i="3" s="1"/>
  <c r="J116" i="3"/>
  <c r="P116" i="3" s="1"/>
  <c r="Q100" i="2"/>
  <c r="F100" i="3" s="1"/>
  <c r="J100" i="3"/>
  <c r="P100" i="3" s="1"/>
  <c r="Q98" i="2"/>
  <c r="F98" i="3" s="1"/>
  <c r="J98" i="3"/>
  <c r="K98" i="3" s="1"/>
  <c r="I98" i="3" s="1"/>
  <c r="Q96" i="2"/>
  <c r="F96" i="3" s="1"/>
  <c r="J96" i="3"/>
  <c r="P96" i="3" s="1"/>
  <c r="Q94" i="2"/>
  <c r="F94" i="3" s="1"/>
  <c r="J94" i="3"/>
  <c r="P94" i="3" s="1"/>
  <c r="Q84" i="2"/>
  <c r="F84" i="3" s="1"/>
  <c r="J84" i="3"/>
  <c r="P84" i="3" s="1"/>
  <c r="Q82" i="2"/>
  <c r="F82" i="3" s="1"/>
  <c r="J82" i="3"/>
  <c r="P82" i="3" s="1"/>
  <c r="Q80" i="2"/>
  <c r="F80" i="3" s="1"/>
  <c r="J80" i="3"/>
  <c r="Q78" i="2"/>
  <c r="F78" i="3" s="1"/>
  <c r="J78" i="3"/>
  <c r="P78" i="3" s="1"/>
  <c r="Q61" i="2"/>
  <c r="F61" i="3" s="1"/>
  <c r="M61" i="3" s="1"/>
  <c r="J61" i="3"/>
  <c r="P61" i="3" s="1"/>
  <c r="Q59" i="2"/>
  <c r="F59" i="3" s="1"/>
  <c r="J59" i="3"/>
  <c r="Q57" i="2"/>
  <c r="F57" i="3" s="1"/>
  <c r="J57" i="3"/>
  <c r="P57" i="3" s="1"/>
  <c r="Q55" i="2"/>
  <c r="F55" i="3" s="1"/>
  <c r="M55" i="3" s="1"/>
  <c r="J55" i="3"/>
  <c r="P55" i="3" s="1"/>
  <c r="Q36" i="2"/>
  <c r="F36" i="3" s="1"/>
  <c r="M36" i="3" s="1"/>
  <c r="J36" i="3"/>
  <c r="Q34" i="2"/>
  <c r="F34" i="3" s="1"/>
  <c r="J34" i="3"/>
  <c r="P34" i="3" s="1"/>
  <c r="Q32" i="2"/>
  <c r="F32" i="3" s="1"/>
  <c r="J32" i="3"/>
  <c r="P32" i="3" s="1"/>
  <c r="Q30" i="2"/>
  <c r="F30" i="3" s="1"/>
  <c r="M30" i="3" s="1"/>
  <c r="J30" i="3"/>
  <c r="Q12" i="2"/>
  <c r="F12" i="3" s="1"/>
  <c r="J12" i="3"/>
  <c r="P12" i="3" s="1"/>
  <c r="Q242" i="2"/>
  <c r="F242" i="3" s="1"/>
  <c r="J242" i="3"/>
  <c r="P242" i="3" s="1"/>
  <c r="Q167" i="2"/>
  <c r="F167" i="3" s="1"/>
  <c r="J167" i="3"/>
  <c r="Q152" i="2"/>
  <c r="F152" i="3" s="1"/>
  <c r="J152" i="3"/>
  <c r="P152" i="3" s="1"/>
  <c r="Q140" i="2"/>
  <c r="F140" i="3" s="1"/>
  <c r="J140" i="3"/>
  <c r="P140" i="3" s="1"/>
  <c r="Q127" i="2"/>
  <c r="F127" i="3" s="1"/>
  <c r="M127" i="3" s="1"/>
  <c r="J127" i="3"/>
  <c r="Q101" i="2"/>
  <c r="F101" i="3" s="1"/>
  <c r="J101" i="3"/>
  <c r="P101" i="3" s="1"/>
  <c r="Q83" i="2"/>
  <c r="F83" i="3" s="1"/>
  <c r="J83" i="3"/>
  <c r="P83" i="3" s="1"/>
  <c r="Q58" i="2"/>
  <c r="F58" i="3" s="1"/>
  <c r="J58" i="3"/>
  <c r="Q33" i="2"/>
  <c r="F33" i="3" s="1"/>
  <c r="J33" i="3"/>
  <c r="P33" i="3" s="1"/>
  <c r="Q241" i="2"/>
  <c r="F241" i="3" s="1"/>
  <c r="J241" i="3"/>
  <c r="P241" i="3" s="1"/>
  <c r="Q237" i="2"/>
  <c r="F237" i="3" s="1"/>
  <c r="J237" i="3"/>
  <c r="Q180" i="2"/>
  <c r="F180" i="3" s="1"/>
  <c r="J180" i="3"/>
  <c r="Q178" i="2"/>
  <c r="F178" i="3" s="1"/>
  <c r="J178" i="3"/>
  <c r="P178" i="3" s="1"/>
  <c r="Q176" i="2"/>
  <c r="F176" i="3" s="1"/>
  <c r="J176" i="3"/>
  <c r="Q174" i="2"/>
  <c r="F174" i="3" s="1"/>
  <c r="J174" i="3"/>
  <c r="P174" i="3" s="1"/>
  <c r="Q172" i="2"/>
  <c r="F172" i="3" s="1"/>
  <c r="J172" i="3"/>
  <c r="P172" i="3" s="1"/>
  <c r="Q170" i="2"/>
  <c r="F170" i="3" s="1"/>
  <c r="J170" i="3"/>
  <c r="P170" i="3" s="1"/>
  <c r="Q168" i="2"/>
  <c r="F168" i="3" s="1"/>
  <c r="J168" i="3"/>
  <c r="Q108" i="2"/>
  <c r="F108" i="3" s="1"/>
  <c r="M108" i="3" s="1"/>
  <c r="O108" i="3" s="1"/>
  <c r="J108" i="3"/>
  <c r="P108" i="3" s="1"/>
  <c r="Q106" i="2"/>
  <c r="F106" i="3" s="1"/>
  <c r="J106" i="3"/>
  <c r="P106" i="3" s="1"/>
  <c r="Q104" i="2"/>
  <c r="F104" i="3" s="1"/>
  <c r="J104" i="3"/>
  <c r="P104" i="3" s="1"/>
  <c r="Q102" i="2"/>
  <c r="F102" i="3" s="1"/>
  <c r="J102" i="3"/>
  <c r="P102" i="3" s="1"/>
  <c r="Q89" i="2"/>
  <c r="F89" i="3" s="1"/>
  <c r="J89" i="3"/>
  <c r="Q86" i="2"/>
  <c r="F86" i="3" s="1"/>
  <c r="J86" i="3"/>
  <c r="P86" i="3" s="1"/>
  <c r="Q69" i="2"/>
  <c r="F69" i="3" s="1"/>
  <c r="J69" i="3"/>
  <c r="P69" i="3" s="1"/>
  <c r="Q67" i="2"/>
  <c r="F67" i="3" s="1"/>
  <c r="M67" i="3" s="1"/>
  <c r="J67" i="3"/>
  <c r="P67" i="3" s="1"/>
  <c r="Q65" i="2"/>
  <c r="F65" i="3" s="1"/>
  <c r="J65" i="3"/>
  <c r="P65" i="3" s="1"/>
  <c r="Q63" i="2"/>
  <c r="F63" i="3" s="1"/>
  <c r="M63" i="3" s="1"/>
  <c r="J63" i="3"/>
  <c r="Q44" i="2"/>
  <c r="F44" i="3" s="1"/>
  <c r="J44" i="3"/>
  <c r="Q42" i="2"/>
  <c r="F42" i="3" s="1"/>
  <c r="J42" i="3"/>
  <c r="P42" i="3" s="1"/>
  <c r="Q40" i="2"/>
  <c r="F40" i="3" s="1"/>
  <c r="J40" i="3"/>
  <c r="P40" i="3" s="1"/>
  <c r="Q38" i="2"/>
  <c r="F38" i="3" s="1"/>
  <c r="M38" i="3" s="1"/>
  <c r="J38" i="3"/>
  <c r="K14" i="2"/>
  <c r="J15" i="3"/>
  <c r="Q245" i="2"/>
  <c r="Q244" i="2" s="1"/>
  <c r="J245" i="3"/>
  <c r="Q238" i="2"/>
  <c r="F238" i="3" s="1"/>
  <c r="J238" i="3"/>
  <c r="P238" i="3" s="1"/>
  <c r="Q231" i="2"/>
  <c r="F231" i="3" s="1"/>
  <c r="J231" i="3"/>
  <c r="P231" i="3" s="1"/>
  <c r="Q159" i="2"/>
  <c r="F159" i="3" s="1"/>
  <c r="J159" i="3"/>
  <c r="Q146" i="2"/>
  <c r="F146" i="3" s="1"/>
  <c r="J146" i="3"/>
  <c r="Q136" i="2"/>
  <c r="F136" i="3" s="1"/>
  <c r="J136" i="3"/>
  <c r="P136" i="3" s="1"/>
  <c r="Q123" i="2"/>
  <c r="F123" i="3" s="1"/>
  <c r="M123" i="3" s="1"/>
  <c r="J123" i="3"/>
  <c r="P123" i="3" s="1"/>
  <c r="Q97" i="2"/>
  <c r="F97" i="3" s="1"/>
  <c r="J97" i="3"/>
  <c r="Q37" i="2"/>
  <c r="F37" i="3" s="1"/>
  <c r="M37" i="3" s="1"/>
  <c r="J37" i="3"/>
  <c r="P37" i="3" s="1"/>
  <c r="Q13" i="2"/>
  <c r="F13" i="3" s="1"/>
  <c r="J13" i="3"/>
  <c r="P13" i="3" s="1"/>
  <c r="Q243" i="2"/>
  <c r="F243" i="3" s="1"/>
  <c r="J243" i="3"/>
  <c r="Q232" i="2"/>
  <c r="F232" i="3" s="1"/>
  <c r="J232" i="3"/>
  <c r="P232" i="3" s="1"/>
  <c r="Q228" i="2"/>
  <c r="F228" i="3" s="1"/>
  <c r="J228" i="3"/>
  <c r="P228" i="3" s="1"/>
  <c r="Q225" i="2"/>
  <c r="F225" i="3" s="1"/>
  <c r="M225" i="3" s="1"/>
  <c r="J225" i="3"/>
  <c r="Q223" i="2"/>
  <c r="F223" i="3" s="1"/>
  <c r="J223" i="3"/>
  <c r="P223" i="3" s="1"/>
  <c r="Q221" i="2"/>
  <c r="F221" i="3" s="1"/>
  <c r="J221" i="3"/>
  <c r="P221" i="3" s="1"/>
  <c r="Q219" i="2"/>
  <c r="F219" i="3" s="1"/>
  <c r="J219" i="3"/>
  <c r="P219" i="3" s="1"/>
  <c r="Q217" i="2"/>
  <c r="F217" i="3" s="1"/>
  <c r="J217" i="3"/>
  <c r="P217" i="3" s="1"/>
  <c r="Q215" i="2"/>
  <c r="F215" i="3" s="1"/>
  <c r="J215" i="3"/>
  <c r="P215" i="3" s="1"/>
  <c r="Q213" i="2"/>
  <c r="F213" i="3" s="1"/>
  <c r="J213" i="3"/>
  <c r="Q211" i="2"/>
  <c r="F211" i="3" s="1"/>
  <c r="J211" i="3"/>
  <c r="P211" i="3" s="1"/>
  <c r="Q209" i="2"/>
  <c r="F209" i="3" s="1"/>
  <c r="M209" i="3" s="1"/>
  <c r="J209" i="3"/>
  <c r="P209" i="3" s="1"/>
  <c r="Q207" i="2"/>
  <c r="F207" i="3" s="1"/>
  <c r="J207" i="3"/>
  <c r="P207" i="3" s="1"/>
  <c r="Q205" i="2"/>
  <c r="F205" i="3" s="1"/>
  <c r="J205" i="3"/>
  <c r="P205" i="3" s="1"/>
  <c r="Q203" i="2"/>
  <c r="F203" i="3" s="1"/>
  <c r="M203" i="3" s="1"/>
  <c r="J203" i="3"/>
  <c r="P203" i="3" s="1"/>
  <c r="Q201" i="2"/>
  <c r="F201" i="3" s="1"/>
  <c r="M201" i="3" s="1"/>
  <c r="J201" i="3"/>
  <c r="Q199" i="2"/>
  <c r="F199" i="3" s="1"/>
  <c r="J199" i="3"/>
  <c r="P199" i="3" s="1"/>
  <c r="Q197" i="2"/>
  <c r="F197" i="3" s="1"/>
  <c r="J197" i="3"/>
  <c r="P197" i="3" s="1"/>
  <c r="Q195" i="2"/>
  <c r="F195" i="3" s="1"/>
  <c r="J195" i="3"/>
  <c r="Q193" i="2"/>
  <c r="F193" i="3" s="1"/>
  <c r="M193" i="3" s="1"/>
  <c r="J193" i="3"/>
  <c r="P193" i="3" s="1"/>
  <c r="Q191" i="2"/>
  <c r="F191" i="3" s="1"/>
  <c r="J191" i="3"/>
  <c r="P191" i="3" s="1"/>
  <c r="Q189" i="2"/>
  <c r="F189" i="3" s="1"/>
  <c r="J189" i="3"/>
  <c r="P189" i="3" s="1"/>
  <c r="Q187" i="2"/>
  <c r="F187" i="3" s="1"/>
  <c r="J187" i="3"/>
  <c r="P187" i="3" s="1"/>
  <c r="Q185" i="2"/>
  <c r="F185" i="3" s="1"/>
  <c r="J185" i="3"/>
  <c r="P185" i="3" s="1"/>
  <c r="Q183" i="2"/>
  <c r="F183" i="3" s="1"/>
  <c r="J183" i="3"/>
  <c r="Q115" i="2"/>
  <c r="F115" i="3" s="1"/>
  <c r="M115" i="3" s="1"/>
  <c r="J115" i="3"/>
  <c r="K115" i="3" s="1"/>
  <c r="I115" i="3" s="1"/>
  <c r="Q112" i="2"/>
  <c r="F112" i="3" s="1"/>
  <c r="J112" i="3"/>
  <c r="P112" i="3" s="1"/>
  <c r="Q110" i="2"/>
  <c r="F110" i="3" s="1"/>
  <c r="J110" i="3"/>
  <c r="Q93" i="2"/>
  <c r="F93" i="3" s="1"/>
  <c r="J93" i="3"/>
  <c r="P93" i="3" s="1"/>
  <c r="Q91" i="2"/>
  <c r="F91" i="3" s="1"/>
  <c r="J91" i="3"/>
  <c r="P91" i="3" s="1"/>
  <c r="Q77" i="2"/>
  <c r="F77" i="3" s="1"/>
  <c r="J77" i="3"/>
  <c r="P77" i="3" s="1"/>
  <c r="Q75" i="2"/>
  <c r="F75" i="3" s="1"/>
  <c r="J75" i="3"/>
  <c r="P75" i="3" s="1"/>
  <c r="Q73" i="2"/>
  <c r="F73" i="3" s="1"/>
  <c r="M73" i="3" s="1"/>
  <c r="J73" i="3"/>
  <c r="P73" i="3" s="1"/>
  <c r="Q71" i="2"/>
  <c r="F71" i="3" s="1"/>
  <c r="M71" i="3" s="1"/>
  <c r="J71" i="3"/>
  <c r="P71" i="3" s="1"/>
  <c r="Q52" i="2"/>
  <c r="F52" i="3" s="1"/>
  <c r="J52" i="3"/>
  <c r="P52" i="3" s="1"/>
  <c r="Q50" i="2"/>
  <c r="F50" i="3" s="1"/>
  <c r="M50" i="3" s="1"/>
  <c r="J50" i="3"/>
  <c r="Q48" i="2"/>
  <c r="F48" i="3" s="1"/>
  <c r="M48" i="3" s="1"/>
  <c r="J48" i="3"/>
  <c r="Q46" i="2"/>
  <c r="F46" i="3" s="1"/>
  <c r="J46" i="3"/>
  <c r="P46" i="3" s="1"/>
  <c r="Q29" i="2"/>
  <c r="F29" i="3" s="1"/>
  <c r="M29" i="3" s="1"/>
  <c r="J29" i="3"/>
  <c r="Q27" i="2"/>
  <c r="F27" i="3" s="1"/>
  <c r="M27" i="3" s="1"/>
  <c r="J27" i="3"/>
  <c r="Q25" i="2"/>
  <c r="F25" i="3" s="1"/>
  <c r="M25" i="3" s="1"/>
  <c r="J25" i="3"/>
  <c r="P25" i="3" s="1"/>
  <c r="Q23" i="2"/>
  <c r="F23" i="3" s="1"/>
  <c r="M23" i="3" s="1"/>
  <c r="J23" i="3"/>
  <c r="Q21" i="2"/>
  <c r="F21" i="3" s="1"/>
  <c r="M21" i="3" s="1"/>
  <c r="J21" i="3"/>
  <c r="Q19" i="2"/>
  <c r="F19" i="3" s="1"/>
  <c r="J19" i="3"/>
  <c r="P19" i="3" s="1"/>
  <c r="Q9" i="2"/>
  <c r="F9" i="3" s="1"/>
  <c r="F7" i="3" s="1"/>
  <c r="J9" i="3"/>
  <c r="P9" i="3" s="1"/>
  <c r="M154" i="3"/>
  <c r="M129" i="3"/>
  <c r="M121" i="3"/>
  <c r="M31" i="3"/>
  <c r="M11" i="3"/>
  <c r="M109" i="3"/>
  <c r="O109" i="3" s="1"/>
  <c r="M45" i="3"/>
  <c r="M200" i="3"/>
  <c r="K200" i="3"/>
  <c r="I200" i="3" s="1"/>
  <c r="M188" i="3"/>
  <c r="M182" i="3"/>
  <c r="O182" i="3" s="1"/>
  <c r="M74" i="3"/>
  <c r="K74" i="3"/>
  <c r="I74" i="3" s="1"/>
  <c r="M47" i="3"/>
  <c r="M10" i="3"/>
  <c r="M155" i="3"/>
  <c r="K155" i="3"/>
  <c r="I155" i="3" s="1"/>
  <c r="M130" i="3"/>
  <c r="M124" i="3"/>
  <c r="M98" i="3"/>
  <c r="M34" i="3"/>
  <c r="M42" i="3"/>
  <c r="O42" i="3" s="1"/>
  <c r="M223" i="3"/>
  <c r="C14" i="5"/>
  <c r="N158" i="2"/>
  <c r="F14" i="5" s="1"/>
  <c r="C7" i="5"/>
  <c r="N7" i="2"/>
  <c r="N180" i="4"/>
  <c r="P45" i="3"/>
  <c r="K14" i="5"/>
  <c r="K7" i="5"/>
  <c r="R102" i="2"/>
  <c r="G102" i="3" s="1"/>
  <c r="R12" i="2"/>
  <c r="G12" i="3" s="1"/>
  <c r="M12" i="3" s="1"/>
  <c r="R84" i="2"/>
  <c r="G84" i="3" s="1"/>
  <c r="M84" i="3" s="1"/>
  <c r="E9" i="5"/>
  <c r="E21" i="5" s="1"/>
  <c r="R240" i="2"/>
  <c r="G240" i="3" s="1"/>
  <c r="R149" i="2"/>
  <c r="G149" i="3" s="1"/>
  <c r="M149" i="3" s="1"/>
  <c r="R79" i="2"/>
  <c r="G79" i="3" s="1"/>
  <c r="M79" i="3" s="1"/>
  <c r="R71" i="2"/>
  <c r="G71" i="3" s="1"/>
  <c r="R52" i="2"/>
  <c r="G52" i="3" s="1"/>
  <c r="R33" i="2"/>
  <c r="G33" i="3" s="1"/>
  <c r="R210" i="2"/>
  <c r="G210" i="3" s="1"/>
  <c r="Q9" i="5"/>
  <c r="Q21" i="5" s="1"/>
  <c r="K9" i="5"/>
  <c r="C9" i="5"/>
  <c r="L247" i="3"/>
  <c r="R57" i="2"/>
  <c r="G57" i="3" s="1"/>
  <c r="M57" i="3" s="1"/>
  <c r="R36" i="2"/>
  <c r="G36" i="3" s="1"/>
  <c r="R206" i="2"/>
  <c r="G206" i="3" s="1"/>
  <c r="M206" i="3" s="1"/>
  <c r="R198" i="2"/>
  <c r="G198" i="3" s="1"/>
  <c r="R190" i="2"/>
  <c r="G190" i="3" s="1"/>
  <c r="R173" i="2"/>
  <c r="G173" i="3" s="1"/>
  <c r="M173" i="3" s="1"/>
  <c r="R211" i="2"/>
  <c r="G211" i="3" s="1"/>
  <c r="R235" i="2"/>
  <c r="G235" i="3" s="1"/>
  <c r="R224" i="2"/>
  <c r="G224" i="3" s="1"/>
  <c r="M224" i="3" s="1"/>
  <c r="R179" i="2"/>
  <c r="G179" i="3" s="1"/>
  <c r="M179" i="3" s="1"/>
  <c r="R162" i="2"/>
  <c r="G162" i="3" s="1"/>
  <c r="R126" i="2"/>
  <c r="G126" i="3" s="1"/>
  <c r="R104" i="2"/>
  <c r="G104" i="3" s="1"/>
  <c r="M104" i="3" s="1"/>
  <c r="R213" i="2"/>
  <c r="G213" i="3" s="1"/>
  <c r="R203" i="2"/>
  <c r="G203" i="3" s="1"/>
  <c r="R15" i="2"/>
  <c r="R14" i="2" s="1"/>
  <c r="R239" i="2"/>
  <c r="G239" i="3" s="1"/>
  <c r="R138" i="2"/>
  <c r="G138" i="3" s="1"/>
  <c r="R108" i="2"/>
  <c r="G108" i="3" s="1"/>
  <c r="R92" i="2"/>
  <c r="G92" i="3" s="1"/>
  <c r="M92" i="3" s="1"/>
  <c r="R22" i="2"/>
  <c r="G22" i="3" s="1"/>
  <c r="R215" i="2"/>
  <c r="G215" i="3" s="1"/>
  <c r="R148" i="2"/>
  <c r="G148" i="3" s="1"/>
  <c r="P22" i="3"/>
  <c r="P11" i="3"/>
  <c r="R159" i="2"/>
  <c r="G159" i="3" s="1"/>
  <c r="R60" i="2"/>
  <c r="G60" i="3" s="1"/>
  <c r="R155" i="2"/>
  <c r="G155" i="3" s="1"/>
  <c r="R19" i="2"/>
  <c r="G19" i="3" s="1"/>
  <c r="P24" i="3"/>
  <c r="K226" i="2"/>
  <c r="P177" i="3"/>
  <c r="R204" i="2"/>
  <c r="G204" i="3" s="1"/>
  <c r="R183" i="2"/>
  <c r="G183" i="3" s="1"/>
  <c r="P134" i="3"/>
  <c r="F18" i="5"/>
  <c r="R38" i="2"/>
  <c r="G38" i="3" s="1"/>
  <c r="R141" i="2"/>
  <c r="G141" i="3" s="1"/>
  <c r="R107" i="2"/>
  <c r="G107" i="3" s="1"/>
  <c r="M16" i="2"/>
  <c r="M247" i="2" s="1"/>
  <c r="R145" i="2"/>
  <c r="G145" i="3" s="1"/>
  <c r="R97" i="2"/>
  <c r="G97" i="3" s="1"/>
  <c r="R73" i="2"/>
  <c r="G73" i="3" s="1"/>
  <c r="R34" i="2"/>
  <c r="G34" i="3" s="1"/>
  <c r="R32" i="2"/>
  <c r="G32" i="3" s="1"/>
  <c r="R20" i="2"/>
  <c r="G20" i="3" s="1"/>
  <c r="P233" i="3"/>
  <c r="P53" i="3"/>
  <c r="P179" i="3"/>
  <c r="P154" i="3"/>
  <c r="P98" i="3"/>
  <c r="P119" i="3"/>
  <c r="N219" i="4"/>
  <c r="P39" i="3"/>
  <c r="P51" i="3"/>
  <c r="P79" i="3"/>
  <c r="P63" i="3"/>
  <c r="P155" i="3"/>
  <c r="P180" i="3"/>
  <c r="R194" i="2"/>
  <c r="G194" i="3" s="1"/>
  <c r="M194" i="3" s="1"/>
  <c r="R192" i="2"/>
  <c r="G192" i="3" s="1"/>
  <c r="R185" i="2"/>
  <c r="G185" i="3" s="1"/>
  <c r="M185" i="3" s="1"/>
  <c r="R175" i="2"/>
  <c r="G175" i="3" s="1"/>
  <c r="R170" i="2"/>
  <c r="G170" i="3" s="1"/>
  <c r="R153" i="2"/>
  <c r="G153" i="3" s="1"/>
  <c r="R119" i="2"/>
  <c r="G119" i="3" s="1"/>
  <c r="R113" i="2"/>
  <c r="G113" i="3" s="1"/>
  <c r="R100" i="2"/>
  <c r="G100" i="3" s="1"/>
  <c r="R95" i="2"/>
  <c r="G95" i="3" s="1"/>
  <c r="R67" i="2"/>
  <c r="G67" i="3" s="1"/>
  <c r="R48" i="2"/>
  <c r="G48" i="3" s="1"/>
  <c r="R174" i="2"/>
  <c r="G174" i="3" s="1"/>
  <c r="M174" i="3" s="1"/>
  <c r="R133" i="2"/>
  <c r="G133" i="3" s="1"/>
  <c r="R236" i="2"/>
  <c r="G236" i="3" s="1"/>
  <c r="M236" i="3" s="1"/>
  <c r="R230" i="2"/>
  <c r="G230" i="3" s="1"/>
  <c r="R214" i="2"/>
  <c r="G214" i="3" s="1"/>
  <c r="R99" i="2"/>
  <c r="G99" i="3" s="1"/>
  <c r="M99" i="3" s="1"/>
  <c r="R94" i="2"/>
  <c r="G94" i="3" s="1"/>
  <c r="R54" i="2"/>
  <c r="G54" i="3" s="1"/>
  <c r="R25" i="2"/>
  <c r="G25" i="3" s="1"/>
  <c r="R216" i="2"/>
  <c r="G216" i="3" s="1"/>
  <c r="R202" i="2"/>
  <c r="G202" i="3" s="1"/>
  <c r="R193" i="2"/>
  <c r="G193" i="3" s="1"/>
  <c r="R186" i="2"/>
  <c r="G186" i="3" s="1"/>
  <c r="R178" i="2"/>
  <c r="G178" i="3" s="1"/>
  <c r="R176" i="2"/>
  <c r="G176" i="3" s="1"/>
  <c r="R169" i="2"/>
  <c r="G169" i="3" s="1"/>
  <c r="R160" i="2"/>
  <c r="G160" i="3" s="1"/>
  <c r="R142" i="2"/>
  <c r="G142" i="3" s="1"/>
  <c r="R68" i="2"/>
  <c r="G68" i="3" s="1"/>
  <c r="R56" i="2"/>
  <c r="G56" i="3" s="1"/>
  <c r="R49" i="2"/>
  <c r="G49" i="3" s="1"/>
  <c r="R238" i="2"/>
  <c r="G238" i="3" s="1"/>
  <c r="R218" i="2"/>
  <c r="G218" i="3" s="1"/>
  <c r="M218" i="3" s="1"/>
  <c r="R105" i="2"/>
  <c r="G105" i="3" s="1"/>
  <c r="R96" i="2"/>
  <c r="G96" i="3" s="1"/>
  <c r="R58" i="2"/>
  <c r="G58" i="3" s="1"/>
  <c r="R223" i="2"/>
  <c r="G223" i="3" s="1"/>
  <c r="L181" i="2"/>
  <c r="R130" i="2"/>
  <c r="G130" i="3" s="1"/>
  <c r="R121" i="2"/>
  <c r="G121" i="3" s="1"/>
  <c r="R26" i="2"/>
  <c r="G26" i="3" s="1"/>
  <c r="R156" i="2"/>
  <c r="G156" i="3" s="1"/>
  <c r="R42" i="2"/>
  <c r="G42" i="3" s="1"/>
  <c r="G16" i="2"/>
  <c r="G247" i="2" s="1"/>
  <c r="R222" i="2"/>
  <c r="G222" i="3" s="1"/>
  <c r="R30" i="2"/>
  <c r="G30" i="3" s="1"/>
  <c r="R180" i="2"/>
  <c r="G180" i="3" s="1"/>
  <c r="M180" i="3" s="1"/>
  <c r="R231" i="2"/>
  <c r="G231" i="3" s="1"/>
  <c r="P230" i="2"/>
  <c r="P229" i="2" s="1"/>
  <c r="G18" i="5" s="1"/>
  <c r="R122" i="2"/>
  <c r="G122" i="3" s="1"/>
  <c r="R117" i="2"/>
  <c r="G117" i="3" s="1"/>
  <c r="R242" i="2"/>
  <c r="G242" i="3" s="1"/>
  <c r="R225" i="2"/>
  <c r="G225" i="3" s="1"/>
  <c r="R245" i="2"/>
  <c r="P234" i="2"/>
  <c r="G19" i="5" s="1"/>
  <c r="P226" i="2"/>
  <c r="G17" i="5" s="1"/>
  <c r="R212" i="2"/>
  <c r="G212" i="3" s="1"/>
  <c r="M212" i="3" s="1"/>
  <c r="R135" i="2"/>
  <c r="G135" i="3" s="1"/>
  <c r="J132" i="2"/>
  <c r="R124" i="2"/>
  <c r="G124" i="3" s="1"/>
  <c r="R111" i="2"/>
  <c r="G111" i="3" s="1"/>
  <c r="R82" i="2"/>
  <c r="G82" i="3" s="1"/>
  <c r="R70" i="2"/>
  <c r="G70" i="3" s="1"/>
  <c r="R64" i="2"/>
  <c r="G64" i="3" s="1"/>
  <c r="R28" i="2"/>
  <c r="G28" i="3" s="1"/>
  <c r="R134" i="2"/>
  <c r="G134" i="3" s="1"/>
  <c r="M134" i="3" s="1"/>
  <c r="R125" i="2"/>
  <c r="G125" i="3" s="1"/>
  <c r="R110" i="2"/>
  <c r="G110" i="3" s="1"/>
  <c r="K88" i="2"/>
  <c r="J7" i="2"/>
  <c r="K17" i="2"/>
  <c r="R199" i="2"/>
  <c r="G199" i="3" s="1"/>
  <c r="R187" i="2"/>
  <c r="G187" i="3" s="1"/>
  <c r="J181" i="2"/>
  <c r="R243" i="2"/>
  <c r="G243" i="3" s="1"/>
  <c r="J234" i="2"/>
  <c r="R232" i="2"/>
  <c r="G232" i="3" s="1"/>
  <c r="J229" i="2"/>
  <c r="R195" i="2"/>
  <c r="G195" i="3" s="1"/>
  <c r="F15" i="5"/>
  <c r="R157" i="2"/>
  <c r="G157" i="3" s="1"/>
  <c r="M157" i="3" s="1"/>
  <c r="F12" i="5"/>
  <c r="R91" i="2"/>
  <c r="G91" i="3" s="1"/>
  <c r="R81" i="2"/>
  <c r="G81" i="3" s="1"/>
  <c r="R74" i="2"/>
  <c r="G74" i="3" s="1"/>
  <c r="R50" i="2"/>
  <c r="G50" i="3" s="1"/>
  <c r="R44" i="2"/>
  <c r="G44" i="3" s="1"/>
  <c r="R40" i="2"/>
  <c r="G40" i="3" s="1"/>
  <c r="Q15" i="2"/>
  <c r="Q14" i="2" s="1"/>
  <c r="R11" i="2"/>
  <c r="G11" i="3" s="1"/>
  <c r="F8" i="5"/>
  <c r="I16" i="2"/>
  <c r="I247" i="2" s="1"/>
  <c r="F11" i="5"/>
  <c r="R219" i="2"/>
  <c r="G219" i="3" s="1"/>
  <c r="R191" i="2"/>
  <c r="G191" i="3" s="1"/>
  <c r="R164" i="2"/>
  <c r="G164" i="3" s="1"/>
  <c r="R136" i="2"/>
  <c r="G136" i="3" s="1"/>
  <c r="M136" i="3" s="1"/>
  <c r="R127" i="2"/>
  <c r="G127" i="3" s="1"/>
  <c r="R118" i="2"/>
  <c r="G118" i="3" s="1"/>
  <c r="M118" i="3" s="1"/>
  <c r="R78" i="2"/>
  <c r="G78" i="3" s="1"/>
  <c r="M78" i="3" s="1"/>
  <c r="R76" i="2"/>
  <c r="G76" i="3" s="1"/>
  <c r="R65" i="2"/>
  <c r="G65" i="3" s="1"/>
  <c r="M65" i="3" s="1"/>
  <c r="R24" i="2"/>
  <c r="G24" i="3" s="1"/>
  <c r="M24" i="3" s="1"/>
  <c r="R23" i="2"/>
  <c r="G23" i="3" s="1"/>
  <c r="H16" i="2"/>
  <c r="H247" i="2" s="1"/>
  <c r="P245" i="2"/>
  <c r="P244" i="2" s="1"/>
  <c r="G20" i="5" s="1"/>
  <c r="K166" i="2"/>
  <c r="J166" i="2"/>
  <c r="R128" i="2"/>
  <c r="G128" i="3" s="1"/>
  <c r="K158" i="2"/>
  <c r="Q227" i="2"/>
  <c r="F16" i="5"/>
  <c r="J158" i="2"/>
  <c r="R62" i="2"/>
  <c r="G62" i="3" s="1"/>
  <c r="Q18" i="2"/>
  <c r="F18" i="3" s="1"/>
  <c r="L234" i="2"/>
  <c r="R116" i="2"/>
  <c r="G116" i="3" s="1"/>
  <c r="L114" i="2"/>
  <c r="R227" i="2"/>
  <c r="G227" i="3" s="1"/>
  <c r="L226" i="2"/>
  <c r="R89" i="2"/>
  <c r="G89" i="3" s="1"/>
  <c r="L88" i="2"/>
  <c r="G14" i="5"/>
  <c r="P132" i="2"/>
  <c r="G13" i="5" s="1"/>
  <c r="P181" i="2"/>
  <c r="G16" i="5" s="1"/>
  <c r="K229" i="2"/>
  <c r="R217" i="2"/>
  <c r="G217" i="3" s="1"/>
  <c r="R205" i="2"/>
  <c r="G205" i="3" s="1"/>
  <c r="R172" i="2"/>
  <c r="G172" i="3" s="1"/>
  <c r="P167" i="2"/>
  <c r="P166" i="2" s="1"/>
  <c r="G15" i="5" s="1"/>
  <c r="R165" i="2"/>
  <c r="G165" i="3" s="1"/>
  <c r="M165" i="3" s="1"/>
  <c r="P115" i="2"/>
  <c r="P114" i="2" s="1"/>
  <c r="G12" i="5" s="1"/>
  <c r="R106" i="2"/>
  <c r="G106" i="3" s="1"/>
  <c r="R86" i="2"/>
  <c r="G86" i="3" s="1"/>
  <c r="M86" i="3" s="1"/>
  <c r="R83" i="2"/>
  <c r="G83" i="3" s="1"/>
  <c r="R59" i="2"/>
  <c r="G59" i="3" s="1"/>
  <c r="R47" i="2"/>
  <c r="G47" i="3" s="1"/>
  <c r="R35" i="2"/>
  <c r="G35" i="3" s="1"/>
  <c r="R18" i="2"/>
  <c r="G18" i="3" s="1"/>
  <c r="R8" i="2"/>
  <c r="L132" i="2"/>
  <c r="J226" i="2"/>
  <c r="L17" i="2"/>
  <c r="J88" i="2"/>
  <c r="K132" i="2"/>
  <c r="K234" i="2"/>
  <c r="R221" i="2"/>
  <c r="G221" i="3" s="1"/>
  <c r="R200" i="2"/>
  <c r="G200" i="3" s="1"/>
  <c r="R188" i="2"/>
  <c r="G188" i="3" s="1"/>
  <c r="L167" i="2"/>
  <c r="R152" i="2"/>
  <c r="G152" i="3" s="1"/>
  <c r="M152" i="3" s="1"/>
  <c r="R140" i="2"/>
  <c r="G140" i="3" s="1"/>
  <c r="L9" i="2"/>
  <c r="J244" i="2"/>
  <c r="L158" i="2"/>
  <c r="R208" i="2"/>
  <c r="G208" i="3" s="1"/>
  <c r="R196" i="2"/>
  <c r="G196" i="3" s="1"/>
  <c r="R120" i="2"/>
  <c r="G120" i="3" s="1"/>
  <c r="R115" i="2"/>
  <c r="G115" i="3" s="1"/>
  <c r="R90" i="2"/>
  <c r="G90" i="3" s="1"/>
  <c r="R72" i="2"/>
  <c r="G72" i="3" s="1"/>
  <c r="R55" i="2"/>
  <c r="G55" i="3" s="1"/>
  <c r="R46" i="2"/>
  <c r="G46" i="3" s="1"/>
  <c r="R43" i="2"/>
  <c r="G43" i="3" s="1"/>
  <c r="R41" i="2"/>
  <c r="G41" i="3" s="1"/>
  <c r="R31" i="2"/>
  <c r="G31" i="3" s="1"/>
  <c r="K7" i="2"/>
  <c r="J7" i="3" s="1"/>
  <c r="H7" i="3" s="1"/>
  <c r="L14" i="2"/>
  <c r="J17" i="2"/>
  <c r="K244" i="2"/>
  <c r="L229" i="2"/>
  <c r="R233" i="2"/>
  <c r="R207" i="2"/>
  <c r="G207" i="3" s="1"/>
  <c r="R168" i="2"/>
  <c r="G168" i="3" s="1"/>
  <c r="M168" i="3" s="1"/>
  <c r="R123" i="2"/>
  <c r="G123" i="3" s="1"/>
  <c r="R112" i="2"/>
  <c r="G112" i="3" s="1"/>
  <c r="R98" i="2"/>
  <c r="G98" i="3" s="1"/>
  <c r="P89" i="2"/>
  <c r="R87" i="2"/>
  <c r="G87" i="3" s="1"/>
  <c r="R75" i="2"/>
  <c r="G75" i="3" s="1"/>
  <c r="R63" i="2"/>
  <c r="G63" i="3" s="1"/>
  <c r="R39" i="2"/>
  <c r="G39" i="3" s="1"/>
  <c r="M39" i="3" s="1"/>
  <c r="J14" i="2"/>
  <c r="K114" i="2"/>
  <c r="R241" i="2"/>
  <c r="G241" i="3" s="1"/>
  <c r="R237" i="2"/>
  <c r="G237" i="3" s="1"/>
  <c r="R228" i="2"/>
  <c r="G228" i="3" s="1"/>
  <c r="M228" i="3" s="1"/>
  <c r="R220" i="2"/>
  <c r="G220" i="3" s="1"/>
  <c r="R201" i="2"/>
  <c r="G201" i="3" s="1"/>
  <c r="R189" i="2"/>
  <c r="G189" i="3" s="1"/>
  <c r="R182" i="2"/>
  <c r="G182" i="3" s="1"/>
  <c r="R146" i="2"/>
  <c r="G146" i="3" s="1"/>
  <c r="R139" i="2"/>
  <c r="G139" i="3" s="1"/>
  <c r="R137" i="2"/>
  <c r="G137" i="3" s="1"/>
  <c r="M137" i="3" s="1"/>
  <c r="R129" i="2"/>
  <c r="G129" i="3" s="1"/>
  <c r="R103" i="2"/>
  <c r="G103" i="3" s="1"/>
  <c r="M103" i="3" s="1"/>
  <c r="R80" i="2"/>
  <c r="G80" i="3" s="1"/>
  <c r="R66" i="2"/>
  <c r="G66" i="3" s="1"/>
  <c r="M66" i="3" s="1"/>
  <c r="R51" i="2"/>
  <c r="G51" i="3" s="1"/>
  <c r="R27" i="2"/>
  <c r="G27" i="3" s="1"/>
  <c r="J114" i="2"/>
  <c r="F13" i="5"/>
  <c r="K181" i="2"/>
  <c r="F19" i="5"/>
  <c r="L244" i="2"/>
  <c r="F17" i="5"/>
  <c r="R209" i="2"/>
  <c r="G209" i="3" s="1"/>
  <c r="R197" i="2"/>
  <c r="G197" i="3" s="1"/>
  <c r="R184" i="2"/>
  <c r="G184" i="3" s="1"/>
  <c r="R177" i="2"/>
  <c r="G177" i="3" s="1"/>
  <c r="R151" i="2"/>
  <c r="G151" i="3" s="1"/>
  <c r="R144" i="2"/>
  <c r="G144" i="3" s="1"/>
  <c r="F10" i="5"/>
  <c r="R10" i="2"/>
  <c r="G10" i="3" s="1"/>
  <c r="R171" i="2"/>
  <c r="G171" i="3" s="1"/>
  <c r="R163" i="2"/>
  <c r="R154" i="2"/>
  <c r="G154" i="3" s="1"/>
  <c r="R150" i="2"/>
  <c r="G150" i="3" s="1"/>
  <c r="M150" i="3" s="1"/>
  <c r="R101" i="2"/>
  <c r="G101" i="3" s="1"/>
  <c r="M101" i="3" s="1"/>
  <c r="P101" i="2"/>
  <c r="R69" i="2"/>
  <c r="G69" i="3" s="1"/>
  <c r="P69" i="2"/>
  <c r="R37" i="2"/>
  <c r="G37" i="3" s="1"/>
  <c r="P37" i="2"/>
  <c r="R131" i="2"/>
  <c r="G131" i="3" s="1"/>
  <c r="R109" i="2"/>
  <c r="G109" i="3" s="1"/>
  <c r="P109" i="2"/>
  <c r="R77" i="2"/>
  <c r="G77" i="3" s="1"/>
  <c r="P77" i="2"/>
  <c r="R45" i="2"/>
  <c r="G45" i="3" s="1"/>
  <c r="P45" i="2"/>
  <c r="R13" i="2"/>
  <c r="G13" i="3" s="1"/>
  <c r="P13" i="2"/>
  <c r="P7" i="2" s="1"/>
  <c r="R85" i="2"/>
  <c r="G85" i="3" s="1"/>
  <c r="P85" i="2"/>
  <c r="R53" i="2"/>
  <c r="G53" i="3" s="1"/>
  <c r="M53" i="3" s="1"/>
  <c r="P53" i="2"/>
  <c r="R21" i="2"/>
  <c r="G21" i="3" s="1"/>
  <c r="R147" i="2"/>
  <c r="G147" i="3" s="1"/>
  <c r="R143" i="2"/>
  <c r="G143" i="3" s="1"/>
  <c r="M143" i="3" s="1"/>
  <c r="R93" i="2"/>
  <c r="G93" i="3" s="1"/>
  <c r="P93" i="2"/>
  <c r="R61" i="2"/>
  <c r="G61" i="3" s="1"/>
  <c r="P61" i="2"/>
  <c r="R29" i="2"/>
  <c r="G29" i="3" s="1"/>
  <c r="P29" i="2"/>
  <c r="K129" i="3" l="1"/>
  <c r="I129" i="3" s="1"/>
  <c r="M41" i="3"/>
  <c r="M20" i="3"/>
  <c r="M184" i="3"/>
  <c r="M220" i="3"/>
  <c r="O220" i="3" s="1"/>
  <c r="M80" i="3"/>
  <c r="M76" i="3"/>
  <c r="O76" i="3" s="1"/>
  <c r="K232" i="3"/>
  <c r="I232" i="3" s="1"/>
  <c r="M68" i="3"/>
  <c r="P121" i="3"/>
  <c r="P10" i="3"/>
  <c r="F10" i="4" s="1"/>
  <c r="M44" i="3"/>
  <c r="M70" i="3"/>
  <c r="M202" i="3"/>
  <c r="M214" i="3"/>
  <c r="K188" i="3"/>
  <c r="I188" i="3" s="1"/>
  <c r="K109" i="3"/>
  <c r="I109" i="3" s="1"/>
  <c r="M120" i="3"/>
  <c r="M169" i="3"/>
  <c r="O169" i="3" s="1"/>
  <c r="M175" i="3"/>
  <c r="O175" i="3" s="1"/>
  <c r="M221" i="3"/>
  <c r="O221" i="3" s="1"/>
  <c r="Q229" i="2"/>
  <c r="Q226" i="2"/>
  <c r="K141" i="3"/>
  <c r="I141" i="3" s="1"/>
  <c r="K222" i="3"/>
  <c r="I222" i="3" s="1"/>
  <c r="K230" i="3"/>
  <c r="I230" i="3" s="1"/>
  <c r="K142" i="3"/>
  <c r="I142" i="3" s="1"/>
  <c r="K69" i="3"/>
  <c r="I69" i="3" s="1"/>
  <c r="K171" i="3"/>
  <c r="I171" i="3" s="1"/>
  <c r="M241" i="3"/>
  <c r="K87" i="3"/>
  <c r="I87" i="3" s="1"/>
  <c r="K72" i="3"/>
  <c r="I72" i="3" s="1"/>
  <c r="M191" i="3"/>
  <c r="O191" i="3" s="1"/>
  <c r="M91" i="3"/>
  <c r="K96" i="3"/>
  <c r="I96" i="3" s="1"/>
  <c r="K186" i="3"/>
  <c r="I186" i="3" s="1"/>
  <c r="M119" i="3"/>
  <c r="O119" i="3" s="1"/>
  <c r="F245" i="3"/>
  <c r="F244" i="3" s="1"/>
  <c r="I20" i="5" s="1"/>
  <c r="M215" i="3"/>
  <c r="O215" i="3" s="1"/>
  <c r="M13" i="3"/>
  <c r="M197" i="3"/>
  <c r="O197" i="3" s="1"/>
  <c r="M242" i="3"/>
  <c r="K46" i="3"/>
  <c r="I46" i="3" s="1"/>
  <c r="M106" i="3"/>
  <c r="M235" i="3"/>
  <c r="K34" i="3"/>
  <c r="I34" i="3" s="1"/>
  <c r="K93" i="3"/>
  <c r="I93" i="3" s="1"/>
  <c r="M151" i="3"/>
  <c r="O151" i="3" s="1"/>
  <c r="M139" i="3"/>
  <c r="O139" i="3" s="1"/>
  <c r="K217" i="3"/>
  <c r="I217" i="3" s="1"/>
  <c r="M111" i="3"/>
  <c r="M213" i="3"/>
  <c r="M85" i="3"/>
  <c r="O85" i="3" s="1"/>
  <c r="M146" i="3"/>
  <c r="M208" i="3"/>
  <c r="O208" i="3" s="1"/>
  <c r="M35" i="3"/>
  <c r="M164" i="3"/>
  <c r="M81" i="3"/>
  <c r="M156" i="3"/>
  <c r="O156" i="3" s="1"/>
  <c r="K211" i="3"/>
  <c r="I211" i="3" s="1"/>
  <c r="M94" i="3"/>
  <c r="O94" i="3" s="1"/>
  <c r="M207" i="3"/>
  <c r="O207" i="3" s="1"/>
  <c r="M189" i="3"/>
  <c r="O189" i="3" s="1"/>
  <c r="O31" i="3"/>
  <c r="M59" i="3"/>
  <c r="O59" i="3" s="1"/>
  <c r="M219" i="3"/>
  <c r="M105" i="3"/>
  <c r="O105" i="3" s="1"/>
  <c r="P124" i="3"/>
  <c r="F124" i="4" s="1"/>
  <c r="M124" i="4" s="1"/>
  <c r="M190" i="3"/>
  <c r="O190" i="3" s="1"/>
  <c r="K83" i="3"/>
  <c r="I83" i="3" s="1"/>
  <c r="K187" i="3"/>
  <c r="I187" i="3" s="1"/>
  <c r="P222" i="3"/>
  <c r="K172" i="3"/>
  <c r="I172" i="3" s="1"/>
  <c r="K51" i="3"/>
  <c r="I51" i="3" s="1"/>
  <c r="K177" i="3"/>
  <c r="I177" i="3" s="1"/>
  <c r="K75" i="3"/>
  <c r="I75" i="3" s="1"/>
  <c r="K113" i="3"/>
  <c r="I113" i="3" s="1"/>
  <c r="K192" i="3"/>
  <c r="I192" i="3" s="1"/>
  <c r="K32" i="3"/>
  <c r="I32" i="3" s="1"/>
  <c r="K107" i="3"/>
  <c r="I107" i="3" s="1"/>
  <c r="K19" i="3"/>
  <c r="I19" i="3" s="1"/>
  <c r="K198" i="3"/>
  <c r="I198" i="3" s="1"/>
  <c r="K90" i="3"/>
  <c r="I90" i="3" s="1"/>
  <c r="K40" i="3"/>
  <c r="I40" i="3" s="1"/>
  <c r="K64" i="3"/>
  <c r="I64" i="3" s="1"/>
  <c r="K135" i="3"/>
  <c r="I135" i="3" s="1"/>
  <c r="K153" i="3"/>
  <c r="I153" i="3" s="1"/>
  <c r="P142" i="3"/>
  <c r="F229" i="3"/>
  <c r="I18" i="5" s="1"/>
  <c r="K210" i="3"/>
  <c r="I210" i="3" s="1"/>
  <c r="K43" i="3"/>
  <c r="I43" i="3" s="1"/>
  <c r="K60" i="3"/>
  <c r="I60" i="3" s="1"/>
  <c r="K33" i="3"/>
  <c r="I33" i="3" s="1"/>
  <c r="P47" i="3"/>
  <c r="K31" i="3"/>
  <c r="I31" i="3" s="1"/>
  <c r="K199" i="3"/>
  <c r="I199" i="3" s="1"/>
  <c r="K231" i="3"/>
  <c r="I231" i="3" s="1"/>
  <c r="K178" i="3"/>
  <c r="I178" i="3" s="1"/>
  <c r="P130" i="3"/>
  <c r="K204" i="3"/>
  <c r="I204" i="3" s="1"/>
  <c r="M230" i="3"/>
  <c r="O230" i="3" s="1"/>
  <c r="O130" i="3"/>
  <c r="M112" i="3"/>
  <c r="O112" i="3" s="1"/>
  <c r="M140" i="3"/>
  <c r="K205" i="3"/>
  <c r="I205" i="3" s="1"/>
  <c r="K82" i="3"/>
  <c r="I82" i="3" s="1"/>
  <c r="K216" i="3"/>
  <c r="I216" i="3" s="1"/>
  <c r="M239" i="3"/>
  <c r="O239" i="3" s="1"/>
  <c r="M162" i="3"/>
  <c r="O162" i="3" s="1"/>
  <c r="K52" i="3"/>
  <c r="I52" i="3" s="1"/>
  <c r="F234" i="3"/>
  <c r="I19" i="5" s="1"/>
  <c r="K102" i="3"/>
  <c r="I102" i="3" s="1"/>
  <c r="O63" i="3"/>
  <c r="Q114" i="2"/>
  <c r="O144" i="3"/>
  <c r="O95" i="3"/>
  <c r="Q132" i="2"/>
  <c r="Q166" i="2"/>
  <c r="M170" i="3"/>
  <c r="O170" i="3" s="1"/>
  <c r="Q234" i="2"/>
  <c r="F158" i="3"/>
  <c r="M195" i="3"/>
  <c r="O195" i="3" s="1"/>
  <c r="M176" i="3"/>
  <c r="O176" i="3" s="1"/>
  <c r="M100" i="3"/>
  <c r="M145" i="3"/>
  <c r="O145" i="3" s="1"/>
  <c r="M183" i="3"/>
  <c r="O183" i="3" s="1"/>
  <c r="Q158" i="2"/>
  <c r="O29" i="3"/>
  <c r="O28" i="3"/>
  <c r="O203" i="3"/>
  <c r="F181" i="3"/>
  <c r="I16" i="5" s="1"/>
  <c r="Q7" i="2"/>
  <c r="K23" i="3"/>
  <c r="I23" i="3" s="1"/>
  <c r="K29" i="3"/>
  <c r="I29" i="3" s="1"/>
  <c r="K50" i="3"/>
  <c r="I50" i="3" s="1"/>
  <c r="K203" i="3"/>
  <c r="I203" i="3" s="1"/>
  <c r="K123" i="3"/>
  <c r="I123" i="3" s="1"/>
  <c r="K63" i="3"/>
  <c r="I63" i="3" s="1"/>
  <c r="K55" i="3"/>
  <c r="I55" i="3" s="1"/>
  <c r="K61" i="3"/>
  <c r="I61" i="3" s="1"/>
  <c r="K116" i="3"/>
  <c r="I116" i="3" s="1"/>
  <c r="K122" i="3"/>
  <c r="I122" i="3" s="1"/>
  <c r="K128" i="3"/>
  <c r="I128" i="3" s="1"/>
  <c r="K147" i="3"/>
  <c r="I147" i="3" s="1"/>
  <c r="K56" i="3"/>
  <c r="I56" i="3" s="1"/>
  <c r="K95" i="3"/>
  <c r="I95" i="3" s="1"/>
  <c r="K125" i="3"/>
  <c r="I125" i="3" s="1"/>
  <c r="K144" i="3"/>
  <c r="I144" i="3" s="1"/>
  <c r="K240" i="3"/>
  <c r="I240" i="3" s="1"/>
  <c r="K22" i="3"/>
  <c r="I22" i="3" s="1"/>
  <c r="K28" i="3"/>
  <c r="I28" i="3" s="1"/>
  <c r="O50" i="3"/>
  <c r="Q88" i="2"/>
  <c r="K42" i="3"/>
  <c r="I42" i="3" s="1"/>
  <c r="Q181" i="2"/>
  <c r="K209" i="3"/>
  <c r="I209" i="3" s="1"/>
  <c r="K108" i="3"/>
  <c r="I108" i="3" s="1"/>
  <c r="P29" i="3"/>
  <c r="F29" i="4" s="1"/>
  <c r="K159" i="3"/>
  <c r="I159" i="3" s="1"/>
  <c r="K73" i="3"/>
  <c r="I73" i="3" s="1"/>
  <c r="F88" i="3"/>
  <c r="I11" i="5" s="1"/>
  <c r="F132" i="3"/>
  <c r="I13" i="5" s="1"/>
  <c r="P23" i="3"/>
  <c r="F23" i="4" s="1"/>
  <c r="M23" i="4" s="1"/>
  <c r="P50" i="3"/>
  <c r="F50" i="4" s="1"/>
  <c r="M50" i="4" s="1"/>
  <c r="O225" i="3"/>
  <c r="K21" i="3"/>
  <c r="I21" i="3" s="1"/>
  <c r="K27" i="3"/>
  <c r="I27" i="3" s="1"/>
  <c r="K48" i="3"/>
  <c r="I48" i="3" s="1"/>
  <c r="K89" i="3"/>
  <c r="I89" i="3" s="1"/>
  <c r="K127" i="3"/>
  <c r="I127" i="3" s="1"/>
  <c r="K26" i="3"/>
  <c r="I26" i="3" s="1"/>
  <c r="K49" i="3"/>
  <c r="I49" i="3" s="1"/>
  <c r="O21" i="3"/>
  <c r="F114" i="3"/>
  <c r="I12" i="5" s="1"/>
  <c r="O27" i="3"/>
  <c r="M110" i="3"/>
  <c r="O110" i="3" s="1"/>
  <c r="M238" i="3"/>
  <c r="M89" i="3"/>
  <c r="O89" i="3" s="1"/>
  <c r="O196" i="3"/>
  <c r="M58" i="3"/>
  <c r="O58" i="3" s="1"/>
  <c r="M133" i="3"/>
  <c r="K223" i="3"/>
  <c r="I223" i="3" s="1"/>
  <c r="F166" i="3"/>
  <c r="I15" i="5" s="1"/>
  <c r="O98" i="3"/>
  <c r="K25" i="3"/>
  <c r="I25" i="3" s="1"/>
  <c r="O222" i="3"/>
  <c r="K193" i="3"/>
  <c r="I193" i="3" s="1"/>
  <c r="K37" i="3"/>
  <c r="I37" i="3" s="1"/>
  <c r="O45" i="3"/>
  <c r="O123" i="3"/>
  <c r="O124" i="3"/>
  <c r="K54" i="3"/>
  <c r="I54" i="3" s="1"/>
  <c r="D18" i="5"/>
  <c r="J229" i="3"/>
  <c r="H229" i="3" s="1"/>
  <c r="J77" i="4"/>
  <c r="H77" i="4" s="1"/>
  <c r="H77" i="3"/>
  <c r="J201" i="4"/>
  <c r="H201" i="4" s="1"/>
  <c r="H201" i="3"/>
  <c r="J97" i="4"/>
  <c r="H97" i="4" s="1"/>
  <c r="H97" i="3"/>
  <c r="J67" i="4"/>
  <c r="H67" i="4" s="1"/>
  <c r="H67" i="3"/>
  <c r="J237" i="4"/>
  <c r="H237" i="4" s="1"/>
  <c r="H237" i="3"/>
  <c r="H36" i="3"/>
  <c r="J36" i="4"/>
  <c r="H36" i="4" s="1"/>
  <c r="J120" i="4"/>
  <c r="H120" i="4" s="1"/>
  <c r="H120" i="3"/>
  <c r="H160" i="3"/>
  <c r="J160" i="4"/>
  <c r="H160" i="4" s="1"/>
  <c r="J156" i="4"/>
  <c r="H156" i="4" s="1"/>
  <c r="H156" i="3"/>
  <c r="J111" i="4"/>
  <c r="H111" i="4" s="1"/>
  <c r="H111" i="3"/>
  <c r="J208" i="4"/>
  <c r="H208" i="4" s="1"/>
  <c r="H208" i="3"/>
  <c r="J131" i="4"/>
  <c r="H131" i="4" s="1"/>
  <c r="H131" i="3"/>
  <c r="H62" i="3"/>
  <c r="J62" i="4"/>
  <c r="H62" i="4" s="1"/>
  <c r="J85" i="4"/>
  <c r="H85" i="4" s="1"/>
  <c r="H85" i="3"/>
  <c r="D12" i="5"/>
  <c r="J114" i="3"/>
  <c r="H114" i="3" s="1"/>
  <c r="D15" i="5"/>
  <c r="J166" i="3"/>
  <c r="H166" i="3" s="1"/>
  <c r="D10" i="5"/>
  <c r="J17" i="3"/>
  <c r="H17" i="3" s="1"/>
  <c r="P127" i="3"/>
  <c r="F127" i="4" s="1"/>
  <c r="M127" i="4" s="1"/>
  <c r="P201" i="3"/>
  <c r="F201" i="4" s="1"/>
  <c r="P156" i="3"/>
  <c r="P49" i="3"/>
  <c r="F49" i="4" s="1"/>
  <c r="M49" i="4" s="1"/>
  <c r="K138" i="3"/>
  <c r="I138" i="3" s="1"/>
  <c r="O126" i="3"/>
  <c r="K201" i="3"/>
  <c r="I201" i="3" s="1"/>
  <c r="D16" i="5"/>
  <c r="J181" i="3"/>
  <c r="H181" i="3" s="1"/>
  <c r="H71" i="3"/>
  <c r="J71" i="4"/>
  <c r="H71" i="4" s="1"/>
  <c r="J195" i="4"/>
  <c r="H195" i="4" s="1"/>
  <c r="H195" i="3"/>
  <c r="J225" i="4"/>
  <c r="H225" i="4" s="1"/>
  <c r="H225" i="3"/>
  <c r="J44" i="4"/>
  <c r="H44" i="4" s="1"/>
  <c r="H44" i="3"/>
  <c r="J176" i="4"/>
  <c r="H176" i="4" s="1"/>
  <c r="H176" i="3"/>
  <c r="H30" i="3"/>
  <c r="J30" i="4"/>
  <c r="H30" i="4" s="1"/>
  <c r="J80" i="4"/>
  <c r="H80" i="4" s="1"/>
  <c r="H80" i="3"/>
  <c r="J133" i="4"/>
  <c r="H133" i="4" s="1"/>
  <c r="H133" i="3"/>
  <c r="J235" i="4"/>
  <c r="H235" i="4" s="1"/>
  <c r="H235" i="3"/>
  <c r="J138" i="4"/>
  <c r="H138" i="4" s="1"/>
  <c r="H138" i="3"/>
  <c r="H76" i="3"/>
  <c r="J76" i="4"/>
  <c r="H76" i="4" s="1"/>
  <c r="J41" i="4"/>
  <c r="H41" i="4" s="1"/>
  <c r="H41" i="3"/>
  <c r="H148" i="3"/>
  <c r="J148" i="4"/>
  <c r="H148" i="4" s="1"/>
  <c r="O30" i="3"/>
  <c r="P195" i="3"/>
  <c r="F195" i="4" s="1"/>
  <c r="P160" i="3"/>
  <c r="F160" i="4" s="1"/>
  <c r="P138" i="3"/>
  <c r="P120" i="3"/>
  <c r="F120" i="4" s="1"/>
  <c r="P62" i="3"/>
  <c r="F62" i="4" s="1"/>
  <c r="K148" i="3"/>
  <c r="I148" i="3" s="1"/>
  <c r="O240" i="3"/>
  <c r="P148" i="3"/>
  <c r="F148" i="4" s="1"/>
  <c r="M148" i="4" s="1"/>
  <c r="H9" i="3"/>
  <c r="J9" i="4"/>
  <c r="H9" i="4" s="1"/>
  <c r="J23" i="4"/>
  <c r="H23" i="4" s="1"/>
  <c r="H23" i="3"/>
  <c r="J29" i="4"/>
  <c r="H29" i="4" s="1"/>
  <c r="H29" i="3"/>
  <c r="J50" i="4"/>
  <c r="H50" i="4" s="1"/>
  <c r="H50" i="3"/>
  <c r="J73" i="4"/>
  <c r="H73" i="4" s="1"/>
  <c r="H73" i="3"/>
  <c r="J91" i="4"/>
  <c r="H91" i="4" s="1"/>
  <c r="H91" i="3"/>
  <c r="J112" i="4"/>
  <c r="H112" i="4" s="1"/>
  <c r="H112" i="3"/>
  <c r="H185" i="3"/>
  <c r="J185" i="4"/>
  <c r="H185" i="4" s="1"/>
  <c r="H191" i="3"/>
  <c r="J191" i="4"/>
  <c r="H191" i="4" s="1"/>
  <c r="H197" i="3"/>
  <c r="J197" i="4"/>
  <c r="H197" i="4" s="1"/>
  <c r="J203" i="4"/>
  <c r="H203" i="4" s="1"/>
  <c r="H203" i="3"/>
  <c r="H209" i="3"/>
  <c r="J209" i="4"/>
  <c r="H209" i="4" s="1"/>
  <c r="J215" i="4"/>
  <c r="H215" i="4" s="1"/>
  <c r="H215" i="3"/>
  <c r="H221" i="3"/>
  <c r="J221" i="4"/>
  <c r="H221" i="4" s="1"/>
  <c r="J228" i="4"/>
  <c r="H228" i="4" s="1"/>
  <c r="H228" i="3"/>
  <c r="J13" i="4"/>
  <c r="H13" i="4" s="1"/>
  <c r="H13" i="3"/>
  <c r="J123" i="4"/>
  <c r="H123" i="4" s="1"/>
  <c r="H123" i="3"/>
  <c r="J159" i="4"/>
  <c r="H159" i="4" s="1"/>
  <c r="H159" i="3"/>
  <c r="J245" i="4"/>
  <c r="H245" i="4" s="1"/>
  <c r="H245" i="3"/>
  <c r="J40" i="4"/>
  <c r="H40" i="4" s="1"/>
  <c r="H40" i="3"/>
  <c r="H63" i="3"/>
  <c r="J63" i="4"/>
  <c r="H63" i="4" s="1"/>
  <c r="J69" i="4"/>
  <c r="H69" i="4" s="1"/>
  <c r="H69" i="3"/>
  <c r="J102" i="4"/>
  <c r="H102" i="4" s="1"/>
  <c r="H102" i="3"/>
  <c r="H108" i="3"/>
  <c r="J108" i="4"/>
  <c r="H108" i="4" s="1"/>
  <c r="J172" i="4"/>
  <c r="H172" i="4" s="1"/>
  <c r="H172" i="3"/>
  <c r="J178" i="4"/>
  <c r="H178" i="4" s="1"/>
  <c r="H178" i="3"/>
  <c r="H241" i="3"/>
  <c r="J241" i="4"/>
  <c r="H241" i="4" s="1"/>
  <c r="J83" i="4"/>
  <c r="H83" i="4" s="1"/>
  <c r="H83" i="3"/>
  <c r="J140" i="4"/>
  <c r="H140" i="4" s="1"/>
  <c r="H140" i="3"/>
  <c r="H242" i="3"/>
  <c r="J242" i="4"/>
  <c r="H242" i="4" s="1"/>
  <c r="J32" i="4"/>
  <c r="H32" i="4" s="1"/>
  <c r="H32" i="3"/>
  <c r="J55" i="4"/>
  <c r="H55" i="4" s="1"/>
  <c r="H55" i="3"/>
  <c r="H61" i="3"/>
  <c r="J61" i="4"/>
  <c r="H61" i="4" s="1"/>
  <c r="H82" i="3"/>
  <c r="J82" i="4"/>
  <c r="H82" i="4" s="1"/>
  <c r="J96" i="4"/>
  <c r="H96" i="4" s="1"/>
  <c r="H96" i="3"/>
  <c r="J116" i="4"/>
  <c r="H116" i="4" s="1"/>
  <c r="H116" i="3"/>
  <c r="J122" i="4"/>
  <c r="H122" i="4" s="1"/>
  <c r="H122" i="3"/>
  <c r="J128" i="4"/>
  <c r="H128" i="4" s="1"/>
  <c r="H128" i="3"/>
  <c r="H135" i="3"/>
  <c r="J135" i="4"/>
  <c r="H135" i="4" s="1"/>
  <c r="J141" i="4"/>
  <c r="H141" i="4" s="1"/>
  <c r="H141" i="3"/>
  <c r="J147" i="4"/>
  <c r="H147" i="4" s="1"/>
  <c r="H147" i="3"/>
  <c r="J153" i="4"/>
  <c r="H153" i="4" s="1"/>
  <c r="H153" i="3"/>
  <c r="J163" i="4"/>
  <c r="H163" i="4" s="1"/>
  <c r="H163" i="3"/>
  <c r="H239" i="3"/>
  <c r="J239" i="4"/>
  <c r="H239" i="4" s="1"/>
  <c r="J56" i="4"/>
  <c r="H56" i="4" s="1"/>
  <c r="H56" i="3"/>
  <c r="J95" i="4"/>
  <c r="H95" i="4" s="1"/>
  <c r="H95" i="3"/>
  <c r="J125" i="4"/>
  <c r="H125" i="4" s="1"/>
  <c r="H125" i="3"/>
  <c r="J144" i="4"/>
  <c r="H144" i="4" s="1"/>
  <c r="H144" i="3"/>
  <c r="J240" i="4"/>
  <c r="H240" i="4" s="1"/>
  <c r="H240" i="3"/>
  <c r="H22" i="3"/>
  <c r="J22" i="4"/>
  <c r="H22" i="4" s="1"/>
  <c r="J28" i="4"/>
  <c r="H28" i="4" s="1"/>
  <c r="H28" i="3"/>
  <c r="H51" i="3"/>
  <c r="J51" i="4"/>
  <c r="H51" i="4" s="1"/>
  <c r="J72" i="4"/>
  <c r="H72" i="4" s="1"/>
  <c r="H72" i="3"/>
  <c r="H90" i="3"/>
  <c r="J90" i="4"/>
  <c r="H90" i="4" s="1"/>
  <c r="J113" i="4"/>
  <c r="H113" i="4" s="1"/>
  <c r="H113" i="3"/>
  <c r="J186" i="4"/>
  <c r="H186" i="4" s="1"/>
  <c r="H186" i="3"/>
  <c r="J192" i="4"/>
  <c r="H192" i="4" s="1"/>
  <c r="H192" i="3"/>
  <c r="J198" i="4"/>
  <c r="H198" i="4" s="1"/>
  <c r="H198" i="3"/>
  <c r="J204" i="4"/>
  <c r="H204" i="4" s="1"/>
  <c r="H204" i="3"/>
  <c r="H210" i="3"/>
  <c r="J210" i="4"/>
  <c r="H210" i="4" s="1"/>
  <c r="J216" i="4"/>
  <c r="H216" i="4" s="1"/>
  <c r="H216" i="3"/>
  <c r="J222" i="4"/>
  <c r="H222" i="4" s="1"/>
  <c r="H222" i="3"/>
  <c r="J230" i="4"/>
  <c r="H230" i="4" s="1"/>
  <c r="H230" i="3"/>
  <c r="H60" i="3"/>
  <c r="J60" i="4"/>
  <c r="H60" i="4" s="1"/>
  <c r="H142" i="3"/>
  <c r="J142" i="4"/>
  <c r="H142" i="4" s="1"/>
  <c r="J236" i="4"/>
  <c r="H236" i="4" s="1"/>
  <c r="H236" i="3"/>
  <c r="J43" i="4"/>
  <c r="H43" i="4" s="1"/>
  <c r="H43" i="3"/>
  <c r="J64" i="4"/>
  <c r="H64" i="4" s="1"/>
  <c r="H64" i="3"/>
  <c r="J87" i="4"/>
  <c r="H87" i="4" s="1"/>
  <c r="H87" i="3"/>
  <c r="H107" i="3"/>
  <c r="J107" i="4"/>
  <c r="H107" i="4" s="1"/>
  <c r="H171" i="3"/>
  <c r="J171" i="4"/>
  <c r="H171" i="4" s="1"/>
  <c r="J177" i="4"/>
  <c r="H177" i="4" s="1"/>
  <c r="H177" i="3"/>
  <c r="J119" i="4"/>
  <c r="H119" i="4" s="1"/>
  <c r="H119" i="3"/>
  <c r="H162" i="3"/>
  <c r="J162" i="4"/>
  <c r="H162" i="4" s="1"/>
  <c r="J48" i="4"/>
  <c r="H48" i="4" s="1"/>
  <c r="H48" i="3"/>
  <c r="J183" i="4"/>
  <c r="H183" i="4" s="1"/>
  <c r="H183" i="3"/>
  <c r="H213" i="3"/>
  <c r="J213" i="4"/>
  <c r="H213" i="4" s="1"/>
  <c r="H146" i="3"/>
  <c r="J146" i="4"/>
  <c r="H146" i="4" s="1"/>
  <c r="J89" i="4"/>
  <c r="H89" i="4" s="1"/>
  <c r="H89" i="3"/>
  <c r="J127" i="4"/>
  <c r="H127" i="4" s="1"/>
  <c r="H127" i="3"/>
  <c r="J94" i="4"/>
  <c r="H94" i="4" s="1"/>
  <c r="H94" i="3"/>
  <c r="J139" i="4"/>
  <c r="H139" i="4" s="1"/>
  <c r="H139" i="3"/>
  <c r="J54" i="4"/>
  <c r="H54" i="4" s="1"/>
  <c r="H54" i="3"/>
  <c r="H26" i="3"/>
  <c r="J26" i="4"/>
  <c r="H26" i="4" s="1"/>
  <c r="J184" i="4"/>
  <c r="H184" i="4" s="1"/>
  <c r="H184" i="3"/>
  <c r="J196" i="4"/>
  <c r="H196" i="4" s="1"/>
  <c r="H196" i="3"/>
  <c r="J220" i="4"/>
  <c r="H220" i="4" s="1"/>
  <c r="H220" i="3"/>
  <c r="J164" i="4"/>
  <c r="H164" i="4" s="1"/>
  <c r="H164" i="3"/>
  <c r="J175" i="4"/>
  <c r="H175" i="4" s="1"/>
  <c r="H175" i="3"/>
  <c r="K243" i="3"/>
  <c r="I243" i="3" s="1"/>
  <c r="D11" i="5"/>
  <c r="J88" i="3"/>
  <c r="H88" i="3" s="1"/>
  <c r="O117" i="3"/>
  <c r="K160" i="3"/>
  <c r="I160" i="3" s="1"/>
  <c r="O67" i="3"/>
  <c r="P139" i="3"/>
  <c r="F139" i="4" s="1"/>
  <c r="M139" i="4" s="1"/>
  <c r="P208" i="3"/>
  <c r="F208" i="4" s="1"/>
  <c r="P146" i="3"/>
  <c r="P30" i="3"/>
  <c r="F30" i="4" s="1"/>
  <c r="M30" i="4" s="1"/>
  <c r="P111" i="3"/>
  <c r="F111" i="4" s="1"/>
  <c r="P21" i="3"/>
  <c r="F21" i="4" s="1"/>
  <c r="M21" i="4" s="1"/>
  <c r="K97" i="3"/>
  <c r="I97" i="3" s="1"/>
  <c r="P213" i="3"/>
  <c r="F213" i="4" s="1"/>
  <c r="K225" i="3"/>
  <c r="I225" i="3" s="1"/>
  <c r="K36" i="3"/>
  <c r="I36" i="3" s="1"/>
  <c r="K196" i="3"/>
  <c r="I196" i="3" s="1"/>
  <c r="K62" i="3"/>
  <c r="I62" i="3" s="1"/>
  <c r="J27" i="4"/>
  <c r="H27" i="4" s="1"/>
  <c r="H27" i="3"/>
  <c r="J110" i="4"/>
  <c r="H110" i="4" s="1"/>
  <c r="H110" i="3"/>
  <c r="H207" i="3"/>
  <c r="J207" i="4"/>
  <c r="H207" i="4" s="1"/>
  <c r="J243" i="4"/>
  <c r="H243" i="4" s="1"/>
  <c r="H243" i="3"/>
  <c r="J38" i="4"/>
  <c r="H38" i="4" s="1"/>
  <c r="H38" i="3"/>
  <c r="H106" i="3"/>
  <c r="J106" i="4"/>
  <c r="H106" i="4" s="1"/>
  <c r="J58" i="4"/>
  <c r="H58" i="4" s="1"/>
  <c r="H58" i="3"/>
  <c r="J59" i="4"/>
  <c r="H59" i="4" s="1"/>
  <c r="H59" i="3"/>
  <c r="J126" i="4"/>
  <c r="H126" i="4" s="1"/>
  <c r="H126" i="3"/>
  <c r="H151" i="3"/>
  <c r="J151" i="4"/>
  <c r="H151" i="4" s="1"/>
  <c r="J117" i="4"/>
  <c r="H117" i="4" s="1"/>
  <c r="H117" i="3"/>
  <c r="H20" i="3"/>
  <c r="J20" i="4"/>
  <c r="H20" i="4" s="1"/>
  <c r="J70" i="4"/>
  <c r="H70" i="4" s="1"/>
  <c r="H70" i="3"/>
  <c r="J202" i="4"/>
  <c r="H202" i="4" s="1"/>
  <c r="H202" i="3"/>
  <c r="J35" i="4"/>
  <c r="H35" i="4" s="1"/>
  <c r="H35" i="3"/>
  <c r="J68" i="4"/>
  <c r="H68" i="4" s="1"/>
  <c r="H68" i="3"/>
  <c r="J105" i="4"/>
  <c r="H105" i="4" s="1"/>
  <c r="H105" i="3"/>
  <c r="O154" i="3"/>
  <c r="D20" i="5"/>
  <c r="J244" i="3"/>
  <c r="H244" i="3" s="1"/>
  <c r="D19" i="5"/>
  <c r="J234" i="3"/>
  <c r="H234" i="3" s="1"/>
  <c r="D14" i="5"/>
  <c r="J158" i="3"/>
  <c r="H158" i="3" s="1"/>
  <c r="P196" i="3"/>
  <c r="F196" i="4" s="1"/>
  <c r="M196" i="4" s="1"/>
  <c r="P59" i="3"/>
  <c r="F59" i="4" s="1"/>
  <c r="P48" i="3"/>
  <c r="F48" i="4" s="1"/>
  <c r="M48" i="4" s="1"/>
  <c r="P76" i="3"/>
  <c r="P36" i="3"/>
  <c r="F36" i="4" s="1"/>
  <c r="M36" i="4" s="1"/>
  <c r="P26" i="3"/>
  <c r="F26" i="4" s="1"/>
  <c r="M26" i="4" s="1"/>
  <c r="P237" i="3"/>
  <c r="F237" i="4" s="1"/>
  <c r="P58" i="3"/>
  <c r="F58" i="4" s="1"/>
  <c r="P164" i="3"/>
  <c r="F164" i="4" s="1"/>
  <c r="J19" i="4"/>
  <c r="H19" i="4" s="1"/>
  <c r="H19" i="3"/>
  <c r="J25" i="4"/>
  <c r="H25" i="4" s="1"/>
  <c r="H25" i="3"/>
  <c r="H46" i="3"/>
  <c r="J46" i="4"/>
  <c r="H46" i="4" s="1"/>
  <c r="J52" i="4"/>
  <c r="H52" i="4" s="1"/>
  <c r="H52" i="3"/>
  <c r="J75" i="4"/>
  <c r="H75" i="4" s="1"/>
  <c r="H75" i="3"/>
  <c r="J93" i="4"/>
  <c r="H93" i="4" s="1"/>
  <c r="H93" i="3"/>
  <c r="J115" i="4"/>
  <c r="H115" i="4" s="1"/>
  <c r="H115" i="3"/>
  <c r="J187" i="4"/>
  <c r="H187" i="4" s="1"/>
  <c r="H187" i="3"/>
  <c r="J193" i="4"/>
  <c r="H193" i="4" s="1"/>
  <c r="H193" i="3"/>
  <c r="H199" i="3"/>
  <c r="J199" i="4"/>
  <c r="H199" i="4" s="1"/>
  <c r="J205" i="4"/>
  <c r="H205" i="4" s="1"/>
  <c r="H205" i="3"/>
  <c r="J211" i="4"/>
  <c r="H211" i="4" s="1"/>
  <c r="H211" i="3"/>
  <c r="H217" i="3"/>
  <c r="J217" i="4"/>
  <c r="H217" i="4" s="1"/>
  <c r="J223" i="4"/>
  <c r="H223" i="4" s="1"/>
  <c r="H223" i="3"/>
  <c r="J232" i="4"/>
  <c r="H232" i="4" s="1"/>
  <c r="H232" i="3"/>
  <c r="J37" i="4"/>
  <c r="H37" i="4" s="1"/>
  <c r="H37" i="3"/>
  <c r="H136" i="3"/>
  <c r="J136" i="4"/>
  <c r="H136" i="4" s="1"/>
  <c r="H231" i="3"/>
  <c r="J231" i="4"/>
  <c r="H231" i="4" s="1"/>
  <c r="J15" i="4"/>
  <c r="H15" i="4" s="1"/>
  <c r="H15" i="3"/>
  <c r="J42" i="4"/>
  <c r="H42" i="4" s="1"/>
  <c r="H42" i="3"/>
  <c r="J65" i="4"/>
  <c r="H65" i="4" s="1"/>
  <c r="H65" i="3"/>
  <c r="J86" i="4"/>
  <c r="H86" i="4" s="1"/>
  <c r="H86" i="3"/>
  <c r="J104" i="4"/>
  <c r="H104" i="4" s="1"/>
  <c r="H104" i="3"/>
  <c r="J168" i="4"/>
  <c r="H168" i="4" s="1"/>
  <c r="H168" i="3"/>
  <c r="J174" i="4"/>
  <c r="H174" i="4" s="1"/>
  <c r="H174" i="3"/>
  <c r="J180" i="4"/>
  <c r="H180" i="4" s="1"/>
  <c r="H180" i="3"/>
  <c r="H33" i="3"/>
  <c r="J33" i="4"/>
  <c r="H33" i="4" s="1"/>
  <c r="H101" i="3"/>
  <c r="J101" i="4"/>
  <c r="H101" i="4" s="1"/>
  <c r="J152" i="4"/>
  <c r="H152" i="4" s="1"/>
  <c r="H152" i="3"/>
  <c r="H12" i="3"/>
  <c r="J12" i="4"/>
  <c r="H12" i="4" s="1"/>
  <c r="H34" i="3"/>
  <c r="J34" i="4"/>
  <c r="H34" i="4" s="1"/>
  <c r="J57" i="4"/>
  <c r="H57" i="4" s="1"/>
  <c r="H57" i="3"/>
  <c r="J78" i="4"/>
  <c r="H78" i="4" s="1"/>
  <c r="H78" i="3"/>
  <c r="J84" i="4"/>
  <c r="H84" i="4" s="1"/>
  <c r="H84" i="3"/>
  <c r="J98" i="4"/>
  <c r="H98" i="4" s="1"/>
  <c r="H98" i="3"/>
  <c r="H118" i="3"/>
  <c r="J118" i="4"/>
  <c r="H118" i="4" s="1"/>
  <c r="J124" i="4"/>
  <c r="H124" i="4" s="1"/>
  <c r="H124" i="3"/>
  <c r="H130" i="3"/>
  <c r="J130" i="4"/>
  <c r="H130" i="4" s="1"/>
  <c r="H137" i="3"/>
  <c r="J137" i="4"/>
  <c r="H137" i="4" s="1"/>
  <c r="H143" i="3"/>
  <c r="J143" i="4"/>
  <c r="H143" i="4" s="1"/>
  <c r="J149" i="4"/>
  <c r="H149" i="4" s="1"/>
  <c r="H149" i="3"/>
  <c r="J157" i="4"/>
  <c r="H157" i="4" s="1"/>
  <c r="H157" i="3"/>
  <c r="J165" i="4"/>
  <c r="H165" i="4" s="1"/>
  <c r="H165" i="3"/>
  <c r="J31" i="4"/>
  <c r="H31" i="4" s="1"/>
  <c r="H31" i="3"/>
  <c r="H79" i="3"/>
  <c r="J79" i="4"/>
  <c r="H79" i="4" s="1"/>
  <c r="J99" i="4"/>
  <c r="H99" i="4" s="1"/>
  <c r="H99" i="3"/>
  <c r="J129" i="4"/>
  <c r="H129" i="4" s="1"/>
  <c r="H129" i="3"/>
  <c r="J150" i="4"/>
  <c r="H150" i="4" s="1"/>
  <c r="H150" i="3"/>
  <c r="J10" i="4"/>
  <c r="H10" i="4" s="1"/>
  <c r="H10" i="3"/>
  <c r="H24" i="3"/>
  <c r="J24" i="4"/>
  <c r="H24" i="4" s="1"/>
  <c r="J47" i="4"/>
  <c r="H47" i="4" s="1"/>
  <c r="H47" i="3"/>
  <c r="J53" i="4"/>
  <c r="H53" i="4" s="1"/>
  <c r="H53" i="3"/>
  <c r="J74" i="4"/>
  <c r="H74" i="4" s="1"/>
  <c r="H74" i="3"/>
  <c r="J92" i="4"/>
  <c r="H92" i="4" s="1"/>
  <c r="H92" i="3"/>
  <c r="J182" i="4"/>
  <c r="H182" i="4" s="1"/>
  <c r="H182" i="3"/>
  <c r="J188" i="4"/>
  <c r="H188" i="4" s="1"/>
  <c r="H188" i="3"/>
  <c r="J194" i="4"/>
  <c r="H194" i="4" s="1"/>
  <c r="H194" i="3"/>
  <c r="J200" i="4"/>
  <c r="H200" i="4" s="1"/>
  <c r="H200" i="3"/>
  <c r="J206" i="4"/>
  <c r="H206" i="4" s="1"/>
  <c r="H206" i="3"/>
  <c r="J212" i="4"/>
  <c r="H212" i="4" s="1"/>
  <c r="H212" i="3"/>
  <c r="J218" i="4"/>
  <c r="H218" i="4" s="1"/>
  <c r="H218" i="3"/>
  <c r="J224" i="4"/>
  <c r="H224" i="4" s="1"/>
  <c r="H224" i="3"/>
  <c r="J11" i="4"/>
  <c r="H11" i="4" s="1"/>
  <c r="H11" i="3"/>
  <c r="J121" i="4"/>
  <c r="H121" i="4" s="1"/>
  <c r="H121" i="3"/>
  <c r="J154" i="4"/>
  <c r="H154" i="4" s="1"/>
  <c r="H154" i="3"/>
  <c r="H39" i="3"/>
  <c r="J39" i="4"/>
  <c r="H39" i="4" s="1"/>
  <c r="H45" i="3"/>
  <c r="J45" i="4"/>
  <c r="H45" i="4" s="1"/>
  <c r="H66" i="3"/>
  <c r="J66" i="4"/>
  <c r="H66" i="4" s="1"/>
  <c r="J103" i="4"/>
  <c r="H103" i="4" s="1"/>
  <c r="H103" i="3"/>
  <c r="J109" i="4"/>
  <c r="H109" i="4" s="1"/>
  <c r="H109" i="3"/>
  <c r="H173" i="3"/>
  <c r="J173" i="4"/>
  <c r="H173" i="4" s="1"/>
  <c r="J179" i="4"/>
  <c r="H179" i="4" s="1"/>
  <c r="H179" i="3"/>
  <c r="J134" i="4"/>
  <c r="H134" i="4" s="1"/>
  <c r="H134" i="3"/>
  <c r="H233" i="3"/>
  <c r="J233" i="4"/>
  <c r="H233" i="4" s="1"/>
  <c r="H21" i="3"/>
  <c r="J21" i="4"/>
  <c r="H21" i="4" s="1"/>
  <c r="J189" i="4"/>
  <c r="H189" i="4" s="1"/>
  <c r="H189" i="3"/>
  <c r="J219" i="4"/>
  <c r="H219" i="4" s="1"/>
  <c r="H219" i="3"/>
  <c r="J238" i="4"/>
  <c r="H238" i="4" s="1"/>
  <c r="H238" i="3"/>
  <c r="J170" i="4"/>
  <c r="H170" i="4" s="1"/>
  <c r="H170" i="3"/>
  <c r="H167" i="3"/>
  <c r="J167" i="4"/>
  <c r="H167" i="4" s="1"/>
  <c r="H100" i="3"/>
  <c r="J100" i="4"/>
  <c r="H100" i="4" s="1"/>
  <c r="J145" i="4"/>
  <c r="H145" i="4" s="1"/>
  <c r="H145" i="3"/>
  <c r="J81" i="4"/>
  <c r="H81" i="4" s="1"/>
  <c r="H81" i="3"/>
  <c r="J49" i="4"/>
  <c r="H49" i="4" s="1"/>
  <c r="H49" i="3"/>
  <c r="J190" i="4"/>
  <c r="H190" i="4" s="1"/>
  <c r="H190" i="3"/>
  <c r="J214" i="4"/>
  <c r="H214" i="4" s="1"/>
  <c r="H214" i="3"/>
  <c r="J169" i="4"/>
  <c r="H169" i="4" s="1"/>
  <c r="H169" i="3"/>
  <c r="K77" i="3"/>
  <c r="I77" i="3" s="1"/>
  <c r="K237" i="3"/>
  <c r="I237" i="3" s="1"/>
  <c r="D13" i="5"/>
  <c r="J132" i="3"/>
  <c r="H132" i="3" s="1"/>
  <c r="O125" i="3"/>
  <c r="P176" i="3"/>
  <c r="F176" i="4" s="1"/>
  <c r="P35" i="3"/>
  <c r="P243" i="3"/>
  <c r="F243" i="4" s="1"/>
  <c r="M243" i="4" s="1"/>
  <c r="P183" i="3"/>
  <c r="F183" i="4" s="1"/>
  <c r="M183" i="4" s="1"/>
  <c r="P131" i="3"/>
  <c r="F131" i="4" s="1"/>
  <c r="M131" i="4" s="1"/>
  <c r="P225" i="3"/>
  <c r="F225" i="4" s="1"/>
  <c r="P44" i="3"/>
  <c r="F44" i="4" s="1"/>
  <c r="P20" i="3"/>
  <c r="F20" i="4" s="1"/>
  <c r="P41" i="3"/>
  <c r="P97" i="3"/>
  <c r="F97" i="4" s="1"/>
  <c r="P214" i="3"/>
  <c r="F214" i="4" s="1"/>
  <c r="P38" i="3"/>
  <c r="F38" i="4" s="1"/>
  <c r="M38" i="4" s="1"/>
  <c r="D17" i="5"/>
  <c r="J226" i="3"/>
  <c r="H226" i="3" s="1"/>
  <c r="P110" i="3"/>
  <c r="O71" i="3"/>
  <c r="P81" i="3"/>
  <c r="F81" i="4" s="1"/>
  <c r="P27" i="3"/>
  <c r="F27" i="4" s="1"/>
  <c r="M27" i="4" s="1"/>
  <c r="K71" i="3"/>
  <c r="I71" i="3" s="1"/>
  <c r="K38" i="3"/>
  <c r="I38" i="3" s="1"/>
  <c r="K67" i="3"/>
  <c r="I67" i="3" s="1"/>
  <c r="K30" i="3"/>
  <c r="I30" i="3" s="1"/>
  <c r="K126" i="3"/>
  <c r="I126" i="3" s="1"/>
  <c r="K117" i="3"/>
  <c r="I117" i="3" s="1"/>
  <c r="K131" i="3"/>
  <c r="I131" i="3" s="1"/>
  <c r="D8" i="5"/>
  <c r="J14" i="3"/>
  <c r="H14" i="3" s="1"/>
  <c r="O128" i="3"/>
  <c r="O223" i="3"/>
  <c r="O25" i="3"/>
  <c r="O56" i="3"/>
  <c r="O34" i="3"/>
  <c r="O127" i="3"/>
  <c r="O122" i="3"/>
  <c r="O61" i="3"/>
  <c r="O142" i="3"/>
  <c r="O73" i="3"/>
  <c r="G226" i="3"/>
  <c r="M19" i="3"/>
  <c r="M46" i="3"/>
  <c r="O46" i="3" s="1"/>
  <c r="M52" i="3"/>
  <c r="O52" i="3" s="1"/>
  <c r="M75" i="3"/>
  <c r="Q75" i="3" s="1"/>
  <c r="G75" i="4" s="1"/>
  <c r="M93" i="3"/>
  <c r="O93" i="3" s="1"/>
  <c r="M187" i="3"/>
  <c r="M199" i="3"/>
  <c r="O199" i="3" s="1"/>
  <c r="M205" i="3"/>
  <c r="O205" i="3" s="1"/>
  <c r="M211" i="3"/>
  <c r="O211" i="3" s="1"/>
  <c r="M217" i="3"/>
  <c r="O217" i="3" s="1"/>
  <c r="M40" i="3"/>
  <c r="O40" i="3" s="1"/>
  <c r="M69" i="3"/>
  <c r="O69" i="3" s="1"/>
  <c r="M102" i="3"/>
  <c r="O102" i="3" s="1"/>
  <c r="M172" i="3"/>
  <c r="O172" i="3" s="1"/>
  <c r="M178" i="3"/>
  <c r="O178" i="3" s="1"/>
  <c r="M237" i="3"/>
  <c r="M231" i="3"/>
  <c r="M32" i="3"/>
  <c r="M82" i="3"/>
  <c r="O82" i="3" s="1"/>
  <c r="M96" i="3"/>
  <c r="O96" i="3" s="1"/>
  <c r="M135" i="3"/>
  <c r="M141" i="3"/>
  <c r="O141" i="3" s="1"/>
  <c r="M153" i="3"/>
  <c r="O153" i="3" s="1"/>
  <c r="M160" i="3"/>
  <c r="O160" i="3" s="1"/>
  <c r="M232" i="3"/>
  <c r="O232" i="3" s="1"/>
  <c r="M51" i="3"/>
  <c r="M72" i="3"/>
  <c r="O72" i="3" s="1"/>
  <c r="M90" i="3"/>
  <c r="M113" i="3"/>
  <c r="O113" i="3" s="1"/>
  <c r="M186" i="3"/>
  <c r="Q186" i="3" s="1"/>
  <c r="G186" i="4" s="1"/>
  <c r="M192" i="3"/>
  <c r="O192" i="3" s="1"/>
  <c r="M198" i="3"/>
  <c r="O198" i="3" s="1"/>
  <c r="M204" i="3"/>
  <c r="M210" i="3"/>
  <c r="O210" i="3" s="1"/>
  <c r="M216" i="3"/>
  <c r="O216" i="3" s="1"/>
  <c r="M43" i="3"/>
  <c r="O43" i="3" s="1"/>
  <c r="M64" i="3"/>
  <c r="O64" i="3" s="1"/>
  <c r="M87" i="3"/>
  <c r="O87" i="3" s="1"/>
  <c r="M107" i="3"/>
  <c r="O107" i="3" s="1"/>
  <c r="M171" i="3"/>
  <c r="O171" i="3" s="1"/>
  <c r="M177" i="3"/>
  <c r="M148" i="3"/>
  <c r="O148" i="3" s="1"/>
  <c r="M159" i="3"/>
  <c r="O159" i="3" s="1"/>
  <c r="M33" i="3"/>
  <c r="O33" i="3" s="1"/>
  <c r="M54" i="3"/>
  <c r="O54" i="3" s="1"/>
  <c r="M60" i="3"/>
  <c r="O60" i="3" s="1"/>
  <c r="M83" i="3"/>
  <c r="O83" i="3" s="1"/>
  <c r="M97" i="3"/>
  <c r="O97" i="3" s="1"/>
  <c r="M138" i="3"/>
  <c r="O138" i="3" s="1"/>
  <c r="M77" i="3"/>
  <c r="O77" i="3" s="1"/>
  <c r="K110" i="3"/>
  <c r="I110" i="3" s="1"/>
  <c r="K183" i="3"/>
  <c r="I183" i="3" s="1"/>
  <c r="K189" i="3"/>
  <c r="I189" i="3" s="1"/>
  <c r="K195" i="3"/>
  <c r="I195" i="3" s="1"/>
  <c r="K207" i="3"/>
  <c r="I207" i="3" s="1"/>
  <c r="K213" i="3"/>
  <c r="I213" i="3" s="1"/>
  <c r="K219" i="3"/>
  <c r="I219" i="3" s="1"/>
  <c r="K242" i="3"/>
  <c r="I242" i="3" s="1"/>
  <c r="K65" i="3"/>
  <c r="I65" i="3" s="1"/>
  <c r="K86" i="3"/>
  <c r="I86" i="3" s="1"/>
  <c r="K104" i="3"/>
  <c r="I104" i="3" s="1"/>
  <c r="K168" i="3"/>
  <c r="I168" i="3" s="1"/>
  <c r="K174" i="3"/>
  <c r="I174" i="3" s="1"/>
  <c r="K180" i="3"/>
  <c r="I180" i="3" s="1"/>
  <c r="K241" i="3"/>
  <c r="I241" i="3" s="1"/>
  <c r="K12" i="3"/>
  <c r="I12" i="3" s="1"/>
  <c r="K57" i="3"/>
  <c r="I57" i="3" s="1"/>
  <c r="K78" i="3"/>
  <c r="I78" i="3" s="1"/>
  <c r="K84" i="3"/>
  <c r="I84" i="3" s="1"/>
  <c r="K118" i="3"/>
  <c r="I118" i="3" s="1"/>
  <c r="K137" i="3"/>
  <c r="I137" i="3" s="1"/>
  <c r="K143" i="3"/>
  <c r="I143" i="3" s="1"/>
  <c r="K149" i="3"/>
  <c r="I149" i="3" s="1"/>
  <c r="K239" i="3"/>
  <c r="I239" i="3" s="1"/>
  <c r="K24" i="3"/>
  <c r="I24" i="3" s="1"/>
  <c r="K53" i="3"/>
  <c r="I53" i="3" s="1"/>
  <c r="K92" i="3"/>
  <c r="I92" i="3" s="1"/>
  <c r="K194" i="3"/>
  <c r="I194" i="3" s="1"/>
  <c r="K206" i="3"/>
  <c r="I206" i="3" s="1"/>
  <c r="K212" i="3"/>
  <c r="I212" i="3" s="1"/>
  <c r="K218" i="3"/>
  <c r="I218" i="3" s="1"/>
  <c r="K224" i="3"/>
  <c r="I224" i="3" s="1"/>
  <c r="K39" i="3"/>
  <c r="I39" i="3" s="1"/>
  <c r="K66" i="3"/>
  <c r="I66" i="3" s="1"/>
  <c r="K103" i="3"/>
  <c r="I103" i="3" s="1"/>
  <c r="K173" i="3"/>
  <c r="I173" i="3" s="1"/>
  <c r="K179" i="3"/>
  <c r="I179" i="3" s="1"/>
  <c r="K152" i="3"/>
  <c r="I152" i="3" s="1"/>
  <c r="K164" i="3"/>
  <c r="I164" i="3" s="1"/>
  <c r="K13" i="3"/>
  <c r="I13" i="3" s="1"/>
  <c r="K35" i="3"/>
  <c r="I35" i="3" s="1"/>
  <c r="K79" i="3"/>
  <c r="I79" i="3" s="1"/>
  <c r="K85" i="3"/>
  <c r="I85" i="3" s="1"/>
  <c r="K99" i="3"/>
  <c r="I99" i="3" s="1"/>
  <c r="K119" i="3"/>
  <c r="I119" i="3" s="1"/>
  <c r="K140" i="3"/>
  <c r="I140" i="3" s="1"/>
  <c r="K146" i="3"/>
  <c r="I146" i="3" s="1"/>
  <c r="K162" i="3"/>
  <c r="I162" i="3" s="1"/>
  <c r="K91" i="3"/>
  <c r="I91" i="3" s="1"/>
  <c r="K112" i="3"/>
  <c r="I112" i="3" s="1"/>
  <c r="K185" i="3"/>
  <c r="I185" i="3" s="1"/>
  <c r="K191" i="3"/>
  <c r="I191" i="3" s="1"/>
  <c r="K197" i="3"/>
  <c r="I197" i="3" s="1"/>
  <c r="K215" i="3"/>
  <c r="I215" i="3" s="1"/>
  <c r="K221" i="3"/>
  <c r="I221" i="3" s="1"/>
  <c r="K228" i="3"/>
  <c r="I228" i="3" s="1"/>
  <c r="K44" i="3"/>
  <c r="I44" i="3" s="1"/>
  <c r="K106" i="3"/>
  <c r="I106" i="3" s="1"/>
  <c r="K170" i="3"/>
  <c r="I170" i="3" s="1"/>
  <c r="K176" i="3"/>
  <c r="I176" i="3" s="1"/>
  <c r="K235" i="3"/>
  <c r="I235" i="3" s="1"/>
  <c r="M243" i="3"/>
  <c r="K59" i="3"/>
  <c r="I59" i="3" s="1"/>
  <c r="K80" i="3"/>
  <c r="I80" i="3" s="1"/>
  <c r="K94" i="3"/>
  <c r="I94" i="3" s="1"/>
  <c r="K100" i="3"/>
  <c r="I100" i="3" s="1"/>
  <c r="K120" i="3"/>
  <c r="I120" i="3" s="1"/>
  <c r="K133" i="3"/>
  <c r="I133" i="3" s="1"/>
  <c r="K139" i="3"/>
  <c r="I139" i="3" s="1"/>
  <c r="K145" i="3"/>
  <c r="I145" i="3" s="1"/>
  <c r="K151" i="3"/>
  <c r="I151" i="3" s="1"/>
  <c r="K157" i="3"/>
  <c r="I157" i="3" s="1"/>
  <c r="K165" i="3"/>
  <c r="I165" i="3" s="1"/>
  <c r="K236" i="3"/>
  <c r="I236" i="3" s="1"/>
  <c r="K20" i="3"/>
  <c r="I20" i="3" s="1"/>
  <c r="K70" i="3"/>
  <c r="I70" i="3" s="1"/>
  <c r="K76" i="3"/>
  <c r="I76" i="3" s="1"/>
  <c r="K111" i="3"/>
  <c r="I111" i="3" s="1"/>
  <c r="K184" i="3"/>
  <c r="I184" i="3" s="1"/>
  <c r="K190" i="3"/>
  <c r="I190" i="3" s="1"/>
  <c r="K202" i="3"/>
  <c r="I202" i="3" s="1"/>
  <c r="K208" i="3"/>
  <c r="I208" i="3" s="1"/>
  <c r="K214" i="3"/>
  <c r="I214" i="3" s="1"/>
  <c r="K220" i="3"/>
  <c r="I220" i="3" s="1"/>
  <c r="K41" i="3"/>
  <c r="I41" i="3" s="1"/>
  <c r="K68" i="3"/>
  <c r="I68" i="3" s="1"/>
  <c r="K105" i="3"/>
  <c r="I105" i="3" s="1"/>
  <c r="K169" i="3"/>
  <c r="I169" i="3" s="1"/>
  <c r="K175" i="3"/>
  <c r="I175" i="3" s="1"/>
  <c r="K134" i="3"/>
  <c r="I134" i="3" s="1"/>
  <c r="K156" i="3"/>
  <c r="I156" i="3" s="1"/>
  <c r="K238" i="3"/>
  <c r="I238" i="3" s="1"/>
  <c r="K58" i="3"/>
  <c r="I58" i="3" s="1"/>
  <c r="K81" i="3"/>
  <c r="I81" i="3" s="1"/>
  <c r="K101" i="3"/>
  <c r="I101" i="3" s="1"/>
  <c r="K136" i="3"/>
  <c r="I136" i="3" s="1"/>
  <c r="K150" i="3"/>
  <c r="I150" i="3" s="1"/>
  <c r="F17" i="3"/>
  <c r="M18" i="3"/>
  <c r="O18" i="3" s="1"/>
  <c r="K18" i="3"/>
  <c r="I18" i="3" s="1"/>
  <c r="G132" i="3"/>
  <c r="O115" i="3"/>
  <c r="G114" i="3"/>
  <c r="G234" i="3"/>
  <c r="G17" i="3"/>
  <c r="G88" i="3"/>
  <c r="G181" i="3"/>
  <c r="F82" i="4"/>
  <c r="M82" i="4" s="1"/>
  <c r="F136" i="4"/>
  <c r="M136" i="4" s="1"/>
  <c r="F104" i="4"/>
  <c r="F242" i="4"/>
  <c r="M242" i="4" s="1"/>
  <c r="F233" i="4"/>
  <c r="F19" i="4"/>
  <c r="F86" i="4"/>
  <c r="F155" i="4"/>
  <c r="F123" i="4"/>
  <c r="M123" i="4" s="1"/>
  <c r="F79" i="4"/>
  <c r="F75" i="4"/>
  <c r="M75" i="4" s="1"/>
  <c r="F122" i="4"/>
  <c r="M122" i="4" s="1"/>
  <c r="F215" i="4"/>
  <c r="F219" i="4"/>
  <c r="F172" i="4"/>
  <c r="F231" i="4"/>
  <c r="F96" i="4"/>
  <c r="F178" i="4"/>
  <c r="F52" i="4"/>
  <c r="F202" i="4"/>
  <c r="F25" i="4"/>
  <c r="M25" i="4" s="1"/>
  <c r="F61" i="4"/>
  <c r="M61" i="4" s="1"/>
  <c r="F121" i="4"/>
  <c r="M121" i="4" s="1"/>
  <c r="F54" i="4"/>
  <c r="F126" i="4"/>
  <c r="M126" i="4" s="1"/>
  <c r="F11" i="4"/>
  <c r="F110" i="4"/>
  <c r="F149" i="4"/>
  <c r="F238" i="4"/>
  <c r="M238" i="4" s="1"/>
  <c r="F162" i="4"/>
  <c r="F35" i="4"/>
  <c r="F87" i="4"/>
  <c r="F146" i="4"/>
  <c r="M146" i="4" s="1"/>
  <c r="F218" i="4"/>
  <c r="F84" i="4"/>
  <c r="F194" i="4"/>
  <c r="F129" i="4"/>
  <c r="M129" i="4" s="1"/>
  <c r="F9" i="4"/>
  <c r="F31" i="4"/>
  <c r="M31" i="4" s="1"/>
  <c r="F12" i="4"/>
  <c r="F223" i="4"/>
  <c r="M223" i="4" s="1"/>
  <c r="F64" i="4"/>
  <c r="F197" i="4"/>
  <c r="F220" i="4"/>
  <c r="F119" i="4"/>
  <c r="F60" i="4"/>
  <c r="F76" i="4"/>
  <c r="F85" i="4"/>
  <c r="M85" i="4" s="1"/>
  <c r="F33" i="4"/>
  <c r="F34" i="4"/>
  <c r="F22" i="4"/>
  <c r="M22" i="4" s="1"/>
  <c r="F55" i="4"/>
  <c r="M55" i="4" s="1"/>
  <c r="F47" i="4"/>
  <c r="F185" i="4"/>
  <c r="F109" i="4"/>
  <c r="M109" i="4" s="1"/>
  <c r="F157" i="4"/>
  <c r="F224" i="4"/>
  <c r="F107" i="4"/>
  <c r="F184" i="4"/>
  <c r="F71" i="4"/>
  <c r="F204" i="4"/>
  <c r="F216" i="4"/>
  <c r="F217" i="4"/>
  <c r="M217" i="4" s="1"/>
  <c r="F98" i="4"/>
  <c r="M98" i="4" s="1"/>
  <c r="F207" i="4"/>
  <c r="F154" i="4"/>
  <c r="F192" i="4"/>
  <c r="F221" i="4"/>
  <c r="F209" i="4"/>
  <c r="M209" i="4" s="1"/>
  <c r="F144" i="4"/>
  <c r="F116" i="4"/>
  <c r="F165" i="4"/>
  <c r="F53" i="4"/>
  <c r="F153" i="4"/>
  <c r="M153" i="4" s="1"/>
  <c r="F175" i="4"/>
  <c r="F90" i="4"/>
  <c r="F191" i="4"/>
  <c r="F13" i="4"/>
  <c r="F32" i="4"/>
  <c r="F171" i="4"/>
  <c r="F57" i="4"/>
  <c r="F188" i="4"/>
  <c r="M188" i="4" s="1"/>
  <c r="F72" i="4"/>
  <c r="F241" i="4"/>
  <c r="M241" i="4" s="1"/>
  <c r="F193" i="4"/>
  <c r="M193" i="4" s="1"/>
  <c r="F200" i="4"/>
  <c r="F190" i="4"/>
  <c r="F56" i="4"/>
  <c r="M56" i="4" s="1"/>
  <c r="F41" i="4"/>
  <c r="F73" i="4"/>
  <c r="M73" i="4" s="1"/>
  <c r="F106" i="4"/>
  <c r="F102" i="4"/>
  <c r="M102" i="4" s="1"/>
  <c r="F78" i="4"/>
  <c r="F145" i="4"/>
  <c r="M145" i="4" s="1"/>
  <c r="F198" i="4"/>
  <c r="F103" i="4"/>
  <c r="F51" i="4"/>
  <c r="M51" i="4" s="1"/>
  <c r="F39" i="4"/>
  <c r="M39" i="4" s="1"/>
  <c r="F211" i="4"/>
  <c r="F173" i="4"/>
  <c r="F40" i="4"/>
  <c r="M40" i="4" s="1"/>
  <c r="F69" i="4"/>
  <c r="M69" i="4" s="1"/>
  <c r="F186" i="4"/>
  <c r="F101" i="4"/>
  <c r="F177" i="4"/>
  <c r="F24" i="4"/>
  <c r="F150" i="4"/>
  <c r="F239" i="4"/>
  <c r="M239" i="4" s="1"/>
  <c r="F180" i="4"/>
  <c r="F95" i="4"/>
  <c r="F43" i="4"/>
  <c r="F135" i="4"/>
  <c r="F203" i="4"/>
  <c r="M203" i="4" s="1"/>
  <c r="F66" i="4"/>
  <c r="M66" i="4" s="1"/>
  <c r="F187" i="4"/>
  <c r="F142" i="4"/>
  <c r="M142" i="4" s="1"/>
  <c r="F222" i="4"/>
  <c r="M222" i="4" s="1"/>
  <c r="F179" i="4"/>
  <c r="F112" i="4"/>
  <c r="F156" i="4"/>
  <c r="M156" i="4" s="1"/>
  <c r="F105" i="4"/>
  <c r="F137" i="4"/>
  <c r="F170" i="4"/>
  <c r="F37" i="4"/>
  <c r="M37" i="4" s="1"/>
  <c r="F130" i="4"/>
  <c r="M130" i="4" s="1"/>
  <c r="F93" i="4"/>
  <c r="F28" i="4"/>
  <c r="M28" i="4" s="1"/>
  <c r="F189" i="4"/>
  <c r="F128" i="4"/>
  <c r="M128" i="4" s="1"/>
  <c r="F212" i="4"/>
  <c r="M212" i="4" s="1"/>
  <c r="F74" i="4"/>
  <c r="M74" i="4" s="1"/>
  <c r="F45" i="4"/>
  <c r="M45" i="4" s="1"/>
  <c r="F199" i="4"/>
  <c r="F206" i="4"/>
  <c r="F83" i="4"/>
  <c r="M83" i="4" s="1"/>
  <c r="F63" i="4"/>
  <c r="F151" i="4"/>
  <c r="F240" i="4"/>
  <c r="M240" i="4" s="1"/>
  <c r="F91" i="4"/>
  <c r="F147" i="4"/>
  <c r="F46" i="4"/>
  <c r="F94" i="4"/>
  <c r="F118" i="4"/>
  <c r="F169" i="4"/>
  <c r="F140" i="4"/>
  <c r="F100" i="4"/>
  <c r="F108" i="4"/>
  <c r="M108" i="4" s="1"/>
  <c r="F205" i="4"/>
  <c r="F113" i="4"/>
  <c r="F117" i="4"/>
  <c r="M117" i="4" s="1"/>
  <c r="F152" i="4"/>
  <c r="F141" i="4"/>
  <c r="M141" i="4" s="1"/>
  <c r="F125" i="4"/>
  <c r="M125" i="4" s="1"/>
  <c r="F42" i="4"/>
  <c r="M42" i="4" s="1"/>
  <c r="F138" i="4"/>
  <c r="M138" i="4" s="1"/>
  <c r="F134" i="4"/>
  <c r="M134" i="4" s="1"/>
  <c r="F77" i="4"/>
  <c r="F67" i="4"/>
  <c r="M67" i="4" s="1"/>
  <c r="F210" i="4"/>
  <c r="F70" i="4"/>
  <c r="M70" i="4" s="1"/>
  <c r="F65" i="4"/>
  <c r="F143" i="4"/>
  <c r="M143" i="4" s="1"/>
  <c r="F174" i="4"/>
  <c r="F92" i="4"/>
  <c r="F68" i="4"/>
  <c r="F99" i="4"/>
  <c r="J7" i="5"/>
  <c r="P115" i="3"/>
  <c r="P235" i="3"/>
  <c r="J19" i="5"/>
  <c r="P182" i="3"/>
  <c r="J16" i="5"/>
  <c r="P133" i="3"/>
  <c r="P167" i="3"/>
  <c r="P159" i="3"/>
  <c r="P89" i="3"/>
  <c r="J11" i="5"/>
  <c r="P230" i="3"/>
  <c r="P8" i="3"/>
  <c r="C21" i="5"/>
  <c r="O149" i="3"/>
  <c r="O80" i="3"/>
  <c r="O164" i="3"/>
  <c r="O13" i="3"/>
  <c r="O101" i="3"/>
  <c r="O78" i="3"/>
  <c r="O99" i="3"/>
  <c r="O143" i="3"/>
  <c r="O104" i="3"/>
  <c r="O68" i="3"/>
  <c r="O70" i="3"/>
  <c r="O212" i="3"/>
  <c r="O65" i="3"/>
  <c r="O11" i="3"/>
  <c r="O12" i="3"/>
  <c r="O86" i="3"/>
  <c r="O238" i="3"/>
  <c r="O84" i="3"/>
  <c r="O47" i="3"/>
  <c r="O200" i="3"/>
  <c r="O55" i="3"/>
  <c r="O174" i="3"/>
  <c r="O92" i="3"/>
  <c r="O137" i="3"/>
  <c r="O242" i="3"/>
  <c r="O193" i="3"/>
  <c r="O57" i="3"/>
  <c r="O79" i="3"/>
  <c r="O91" i="3"/>
  <c r="O41" i="3"/>
  <c r="O213" i="3"/>
  <c r="O103" i="3"/>
  <c r="O81" i="3"/>
  <c r="O228" i="3"/>
  <c r="O157" i="3"/>
  <c r="O218" i="3"/>
  <c r="O155" i="3"/>
  <c r="O44" i="3"/>
  <c r="O214" i="3"/>
  <c r="O206" i="3"/>
  <c r="O10" i="3"/>
  <c r="O120" i="3"/>
  <c r="O106" i="3"/>
  <c r="O204" i="3"/>
  <c r="O194" i="3"/>
  <c r="O140" i="3"/>
  <c r="O146" i="3"/>
  <c r="O184" i="3"/>
  <c r="O35" i="3"/>
  <c r="O24" i="3"/>
  <c r="O136" i="3"/>
  <c r="O111" i="3"/>
  <c r="O100" i="3"/>
  <c r="O179" i="3"/>
  <c r="O165" i="3"/>
  <c r="O241" i="3"/>
  <c r="O173" i="3"/>
  <c r="O224" i="3"/>
  <c r="O219" i="3"/>
  <c r="O66" i="3"/>
  <c r="O236" i="3"/>
  <c r="O180" i="3"/>
  <c r="Q67" i="3"/>
  <c r="G67" i="4" s="1"/>
  <c r="Q203" i="3"/>
  <c r="G203" i="4" s="1"/>
  <c r="O201" i="3"/>
  <c r="Q144" i="3"/>
  <c r="G144" i="4" s="1"/>
  <c r="O134" i="3"/>
  <c r="Q98" i="3"/>
  <c r="G98" i="4" s="1"/>
  <c r="O74" i="3"/>
  <c r="Q73" i="3"/>
  <c r="G73" i="4" s="1"/>
  <c r="Q69" i="3"/>
  <c r="G69" i="4" s="1"/>
  <c r="O49" i="3"/>
  <c r="O48" i="3"/>
  <c r="Q45" i="3"/>
  <c r="G45" i="4" s="1"/>
  <c r="O39" i="3"/>
  <c r="O38" i="3"/>
  <c r="O37" i="3"/>
  <c r="O36" i="3"/>
  <c r="O26" i="3"/>
  <c r="Q211" i="3"/>
  <c r="G211" i="4" s="1"/>
  <c r="Q34" i="3"/>
  <c r="G34" i="4" s="1"/>
  <c r="Q122" i="3"/>
  <c r="G122" i="4" s="1"/>
  <c r="O23" i="3"/>
  <c r="O22" i="3"/>
  <c r="Q21" i="3"/>
  <c r="G21" i="4" s="1"/>
  <c r="O129" i="3"/>
  <c r="Q124" i="3"/>
  <c r="G124" i="4" s="1"/>
  <c r="O121" i="3"/>
  <c r="K21" i="5"/>
  <c r="Q47" i="3"/>
  <c r="G47" i="4" s="1"/>
  <c r="O20" i="3"/>
  <c r="Q17" i="2"/>
  <c r="O53" i="3"/>
  <c r="O209" i="3"/>
  <c r="O188" i="3"/>
  <c r="Q10" i="3"/>
  <c r="G10" i="4" s="1"/>
  <c r="Q130" i="3"/>
  <c r="G130" i="4" s="1"/>
  <c r="O131" i="3"/>
  <c r="O116" i="3"/>
  <c r="O62" i="3"/>
  <c r="F9" i="5"/>
  <c r="O147" i="3"/>
  <c r="Q154" i="3"/>
  <c r="G154" i="4" s="1"/>
  <c r="O152" i="3"/>
  <c r="Q155" i="3"/>
  <c r="G155" i="4" s="1"/>
  <c r="G163" i="3"/>
  <c r="R158" i="2"/>
  <c r="F163" i="4"/>
  <c r="Q200" i="3"/>
  <c r="G200" i="4" s="1"/>
  <c r="O202" i="3"/>
  <c r="O168" i="3"/>
  <c r="G8" i="3"/>
  <c r="G7" i="5"/>
  <c r="D7" i="5"/>
  <c r="F7" i="5"/>
  <c r="P80" i="3"/>
  <c r="G15" i="3"/>
  <c r="G14" i="3" s="1"/>
  <c r="R229" i="2"/>
  <c r="G233" i="3"/>
  <c r="R244" i="2"/>
  <c r="G245" i="3"/>
  <c r="Q142" i="3"/>
  <c r="G142" i="4" s="1"/>
  <c r="F227" i="3"/>
  <c r="F15" i="3"/>
  <c r="Q42" i="3"/>
  <c r="G42" i="4" s="1"/>
  <c r="P105" i="4"/>
  <c r="P53" i="4"/>
  <c r="F232" i="4"/>
  <c r="F236" i="4"/>
  <c r="P111" i="4"/>
  <c r="F228" i="4"/>
  <c r="P168" i="3"/>
  <c r="R234" i="2"/>
  <c r="N247" i="2"/>
  <c r="R132" i="2"/>
  <c r="P17" i="2"/>
  <c r="G10" i="5" s="1"/>
  <c r="K16" i="2"/>
  <c r="P88" i="2"/>
  <c r="G11" i="5" s="1"/>
  <c r="R17" i="2"/>
  <c r="J16" i="2"/>
  <c r="J247" i="2" s="1"/>
  <c r="R9" i="2"/>
  <c r="G9" i="3" s="1"/>
  <c r="L7" i="2"/>
  <c r="R88" i="2"/>
  <c r="R181" i="2"/>
  <c r="R114" i="2"/>
  <c r="L16" i="2"/>
  <c r="R226" i="2"/>
  <c r="R167" i="2"/>
  <c r="L166" i="2"/>
  <c r="M114" i="3" l="1"/>
  <c r="O75" i="3"/>
  <c r="Q177" i="3"/>
  <c r="G177" i="4" s="1"/>
  <c r="P216" i="4"/>
  <c r="Q174" i="3"/>
  <c r="G174" i="4" s="1"/>
  <c r="K174" i="4" s="1"/>
  <c r="I174" i="4" s="1"/>
  <c r="O186" i="3"/>
  <c r="P202" i="4"/>
  <c r="P165" i="4"/>
  <c r="Q225" i="3"/>
  <c r="G225" i="4" s="1"/>
  <c r="P184" i="4"/>
  <c r="Q222" i="3"/>
  <c r="G222" i="4" s="1"/>
  <c r="Q213" i="3"/>
  <c r="G213" i="4" s="1"/>
  <c r="M213" i="4" s="1"/>
  <c r="O213" i="4" s="1"/>
  <c r="Q187" i="3"/>
  <c r="G187" i="4" s="1"/>
  <c r="M187" i="4" s="1"/>
  <c r="O187" i="4" s="1"/>
  <c r="Q31" i="3"/>
  <c r="G31" i="4" s="1"/>
  <c r="Q171" i="3"/>
  <c r="G171" i="4" s="1"/>
  <c r="K171" i="4" s="1"/>
  <c r="I171" i="4" s="1"/>
  <c r="Q109" i="3"/>
  <c r="G109" i="4" s="1"/>
  <c r="M245" i="3"/>
  <c r="M244" i="3" s="1"/>
  <c r="Q135" i="3"/>
  <c r="G135" i="4" s="1"/>
  <c r="K135" i="4" s="1"/>
  <c r="I135" i="4" s="1"/>
  <c r="Q51" i="3"/>
  <c r="G51" i="4" s="1"/>
  <c r="Q25" i="3"/>
  <c r="G25" i="4" s="1"/>
  <c r="Q63" i="3"/>
  <c r="G63" i="4" s="1"/>
  <c r="M63" i="4" s="1"/>
  <c r="O63" i="4" s="1"/>
  <c r="Q179" i="3"/>
  <c r="G179" i="4" s="1"/>
  <c r="K179" i="4" s="1"/>
  <c r="I179" i="4" s="1"/>
  <c r="Q50" i="3"/>
  <c r="G50" i="4" s="1"/>
  <c r="Q125" i="3"/>
  <c r="G125" i="4" s="1"/>
  <c r="Q223" i="3"/>
  <c r="G223" i="4" s="1"/>
  <c r="J12" i="5"/>
  <c r="Q19" i="3"/>
  <c r="G19" i="4" s="1"/>
  <c r="K19" i="4" s="1"/>
  <c r="I19" i="4" s="1"/>
  <c r="P107" i="4"/>
  <c r="Q64" i="3"/>
  <c r="G64" i="4" s="1"/>
  <c r="K64" i="4" s="1"/>
  <c r="I64" i="4" s="1"/>
  <c r="Q240" i="3"/>
  <c r="G240" i="4" s="1"/>
  <c r="J15" i="5"/>
  <c r="Q27" i="3"/>
  <c r="G27" i="4" s="1"/>
  <c r="Q206" i="3"/>
  <c r="G206" i="4" s="1"/>
  <c r="M206" i="4" s="1"/>
  <c r="O206" i="4" s="1"/>
  <c r="Q128" i="3"/>
  <c r="G128" i="4" s="1"/>
  <c r="Q237" i="3"/>
  <c r="G237" i="4" s="1"/>
  <c r="M237" i="4" s="1"/>
  <c r="O237" i="4" s="1"/>
  <c r="Q192" i="3"/>
  <c r="G192" i="4" s="1"/>
  <c r="K192" i="4" s="1"/>
  <c r="I192" i="4" s="1"/>
  <c r="Q123" i="3"/>
  <c r="G123" i="4" s="1"/>
  <c r="Q193" i="3"/>
  <c r="G193" i="4" s="1"/>
  <c r="Q60" i="3"/>
  <c r="G60" i="4" s="1"/>
  <c r="M60" i="4" s="1"/>
  <c r="O60" i="4" s="1"/>
  <c r="Q29" i="3"/>
  <c r="G29" i="4" s="1"/>
  <c r="O237" i="3"/>
  <c r="Q97" i="3"/>
  <c r="G97" i="4" s="1"/>
  <c r="M97" i="4" s="1"/>
  <c r="O97" i="4" s="1"/>
  <c r="Q183" i="3"/>
  <c r="G183" i="4" s="1"/>
  <c r="Q139" i="3"/>
  <c r="G139" i="4" s="1"/>
  <c r="P116" i="4"/>
  <c r="Q184" i="3"/>
  <c r="G184" i="4" s="1"/>
  <c r="M184" i="4" s="1"/>
  <c r="O184" i="4" s="1"/>
  <c r="Q140" i="3"/>
  <c r="G140" i="4" s="1"/>
  <c r="M140" i="4" s="1"/>
  <c r="O140" i="4" s="1"/>
  <c r="Q105" i="3"/>
  <c r="G105" i="4" s="1"/>
  <c r="K105" i="4" s="1"/>
  <c r="I105" i="4" s="1"/>
  <c r="Q117" i="3"/>
  <c r="G117" i="4" s="1"/>
  <c r="Q127" i="3"/>
  <c r="G127" i="4" s="1"/>
  <c r="O187" i="3"/>
  <c r="Q242" i="3"/>
  <c r="G242" i="4" s="1"/>
  <c r="Q120" i="3"/>
  <c r="G120" i="4" s="1"/>
  <c r="K120" i="4" s="1"/>
  <c r="I120" i="4" s="1"/>
  <c r="Q95" i="3"/>
  <c r="G95" i="4" s="1"/>
  <c r="M95" i="4" s="1"/>
  <c r="O95" i="4" s="1"/>
  <c r="Q61" i="3"/>
  <c r="G61" i="4" s="1"/>
  <c r="Q243" i="3"/>
  <c r="G243" i="4" s="1"/>
  <c r="Q157" i="3"/>
  <c r="G157" i="4" s="1"/>
  <c r="K157" i="4" s="1"/>
  <c r="I157" i="4" s="1"/>
  <c r="Q218" i="3"/>
  <c r="G218" i="4" s="1"/>
  <c r="K218" i="4" s="1"/>
  <c r="I218" i="4" s="1"/>
  <c r="Q107" i="3"/>
  <c r="G107" i="4" s="1"/>
  <c r="M107" i="4" s="1"/>
  <c r="O107" i="4" s="1"/>
  <c r="Q176" i="3"/>
  <c r="G176" i="4" s="1"/>
  <c r="M176" i="4" s="1"/>
  <c r="O176" i="4" s="1"/>
  <c r="Q126" i="3"/>
  <c r="G126" i="4" s="1"/>
  <c r="Q56" i="3"/>
  <c r="G56" i="4" s="1"/>
  <c r="Q136" i="3"/>
  <c r="G136" i="4" s="1"/>
  <c r="O135" i="3"/>
  <c r="Q215" i="3"/>
  <c r="G215" i="4" s="1"/>
  <c r="M215" i="4" s="1"/>
  <c r="O215" i="4" s="1"/>
  <c r="Q55" i="3"/>
  <c r="G55" i="4" s="1"/>
  <c r="Q28" i="3"/>
  <c r="G28" i="4" s="1"/>
  <c r="Q111" i="3"/>
  <c r="G111" i="4" s="1"/>
  <c r="M111" i="4" s="1"/>
  <c r="O111" i="4" s="1"/>
  <c r="Q24" i="3"/>
  <c r="G24" i="4" s="1"/>
  <c r="M24" i="4" s="1"/>
  <c r="O24" i="4" s="1"/>
  <c r="J13" i="5"/>
  <c r="F16" i="3"/>
  <c r="Q100" i="3"/>
  <c r="G100" i="4" s="1"/>
  <c r="M100" i="4" s="1"/>
  <c r="O100" i="4" s="1"/>
  <c r="Q108" i="3"/>
  <c r="G108" i="4" s="1"/>
  <c r="P144" i="4"/>
  <c r="P87" i="4"/>
  <c r="P194" i="4"/>
  <c r="P65" i="4"/>
  <c r="Q92" i="3"/>
  <c r="G92" i="4" s="1"/>
  <c r="K92" i="4" s="1"/>
  <c r="I92" i="4" s="1"/>
  <c r="Q77" i="3"/>
  <c r="G77" i="4" s="1"/>
  <c r="K77" i="4" s="1"/>
  <c r="I77" i="4" s="1"/>
  <c r="O51" i="3"/>
  <c r="P225" i="4"/>
  <c r="Q190" i="3"/>
  <c r="G190" i="4" s="1"/>
  <c r="K190" i="4" s="1"/>
  <c r="I190" i="4" s="1"/>
  <c r="I10" i="5"/>
  <c r="I9" i="5" s="1"/>
  <c r="O177" i="3"/>
  <c r="Q71" i="3"/>
  <c r="G71" i="4" s="1"/>
  <c r="K71" i="4" s="1"/>
  <c r="I71" i="4" s="1"/>
  <c r="D9" i="5"/>
  <c r="D21" i="5" s="1"/>
  <c r="Q137" i="3"/>
  <c r="G137" i="4" s="1"/>
  <c r="K137" i="4" s="1"/>
  <c r="I137" i="4" s="1"/>
  <c r="O243" i="3"/>
  <c r="Q113" i="3"/>
  <c r="G113" i="4" s="1"/>
  <c r="K113" i="4" s="1"/>
  <c r="I113" i="4" s="1"/>
  <c r="J18" i="5"/>
  <c r="K247" i="2"/>
  <c r="J16" i="3"/>
  <c r="H16" i="3" s="1"/>
  <c r="H247" i="3" s="1"/>
  <c r="J14" i="5"/>
  <c r="Q214" i="3"/>
  <c r="G214" i="4" s="1"/>
  <c r="M214" i="4" s="1"/>
  <c r="O214" i="4" s="1"/>
  <c r="Q196" i="3"/>
  <c r="G196" i="4" s="1"/>
  <c r="Q33" i="3"/>
  <c r="G33" i="4" s="1"/>
  <c r="M33" i="4" s="1"/>
  <c r="O33" i="4" s="1"/>
  <c r="P214" i="4"/>
  <c r="P35" i="4"/>
  <c r="Q30" i="3"/>
  <c r="G30" i="4" s="1"/>
  <c r="Q79" i="3"/>
  <c r="G79" i="4" s="1"/>
  <c r="M79" i="4" s="1"/>
  <c r="O79" i="4" s="1"/>
  <c r="Q87" i="3"/>
  <c r="G87" i="4" s="1"/>
  <c r="Q102" i="3"/>
  <c r="G102" i="4" s="1"/>
  <c r="Q199" i="3"/>
  <c r="G199" i="4" s="1"/>
  <c r="K199" i="4" s="1"/>
  <c r="I199" i="4" s="1"/>
  <c r="Q138" i="3"/>
  <c r="G138" i="4" s="1"/>
  <c r="Q35" i="3"/>
  <c r="G35" i="4" s="1"/>
  <c r="M35" i="4" s="1"/>
  <c r="O35" i="4" s="1"/>
  <c r="Q57" i="3"/>
  <c r="G57" i="4" s="1"/>
  <c r="M57" i="4" s="1"/>
  <c r="O57" i="4" s="1"/>
  <c r="Q145" i="3"/>
  <c r="G145" i="4" s="1"/>
  <c r="Q207" i="3"/>
  <c r="G207" i="4" s="1"/>
  <c r="K207" i="4" s="1"/>
  <c r="I207" i="4" s="1"/>
  <c r="Q103" i="3"/>
  <c r="G103" i="4" s="1"/>
  <c r="K103" i="4" s="1"/>
  <c r="I103" i="4" s="1"/>
  <c r="Q146" i="3"/>
  <c r="G146" i="4" s="1"/>
  <c r="O19" i="3"/>
  <c r="Q208" i="3"/>
  <c r="G208" i="4" s="1"/>
  <c r="M208" i="4" s="1"/>
  <c r="O208" i="4" s="1"/>
  <c r="Q106" i="3"/>
  <c r="G106" i="4" s="1"/>
  <c r="M106" i="4" s="1"/>
  <c r="O106" i="4" s="1"/>
  <c r="Q81" i="3"/>
  <c r="G81" i="4" s="1"/>
  <c r="M81" i="4" s="1"/>
  <c r="O81" i="4" s="1"/>
  <c r="M163" i="3"/>
  <c r="O163" i="3" s="1"/>
  <c r="O158" i="3" s="1"/>
  <c r="M14" i="5" s="1"/>
  <c r="K163" i="3"/>
  <c r="I163" i="3" s="1"/>
  <c r="K245" i="3"/>
  <c r="I245" i="3" s="1"/>
  <c r="F14" i="3"/>
  <c r="I8" i="5" s="1"/>
  <c r="M15" i="3"/>
  <c r="M14" i="3" s="1"/>
  <c r="K15" i="3"/>
  <c r="I15" i="3" s="1"/>
  <c r="M227" i="3"/>
  <c r="M226" i="3" s="1"/>
  <c r="K227" i="3"/>
  <c r="I227" i="3" s="1"/>
  <c r="K233" i="3"/>
  <c r="I233" i="3" s="1"/>
  <c r="M233" i="3"/>
  <c r="M229" i="3" s="1"/>
  <c r="M9" i="3"/>
  <c r="O9" i="3" s="1"/>
  <c r="K9" i="3"/>
  <c r="I9" i="3" s="1"/>
  <c r="K8" i="3"/>
  <c r="I8" i="3" s="1"/>
  <c r="M8" i="3"/>
  <c r="O8" i="3" s="1"/>
  <c r="M157" i="4"/>
  <c r="O157" i="4" s="1"/>
  <c r="M186" i="4"/>
  <c r="O186" i="4" s="1"/>
  <c r="M211" i="4"/>
  <c r="O211" i="4" s="1"/>
  <c r="M154" i="4"/>
  <c r="O154" i="4" s="1"/>
  <c r="K34" i="4"/>
  <c r="I34" i="4" s="1"/>
  <c r="M34" i="4"/>
  <c r="O34" i="4" s="1"/>
  <c r="K29" i="4"/>
  <c r="I29" i="4" s="1"/>
  <c r="M29" i="4"/>
  <c r="O29" i="4" s="1"/>
  <c r="M174" i="4"/>
  <c r="O174" i="4" s="1"/>
  <c r="M10" i="4"/>
  <c r="O10" i="4" s="1"/>
  <c r="M200" i="4"/>
  <c r="O200" i="4" s="1"/>
  <c r="K116" i="4"/>
  <c r="I116" i="4" s="1"/>
  <c r="M116" i="4"/>
  <c r="M155" i="4"/>
  <c r="O155" i="4" s="1"/>
  <c r="K225" i="4"/>
  <c r="I225" i="4" s="1"/>
  <c r="M225" i="4"/>
  <c r="O225" i="4" s="1"/>
  <c r="K144" i="4"/>
  <c r="I144" i="4" s="1"/>
  <c r="M144" i="4"/>
  <c r="O144" i="4" s="1"/>
  <c r="M177" i="4"/>
  <c r="O177" i="4" s="1"/>
  <c r="M47" i="4"/>
  <c r="O47" i="4" s="1"/>
  <c r="K87" i="4"/>
  <c r="I87" i="4" s="1"/>
  <c r="M87" i="4"/>
  <c r="O87" i="4" s="1"/>
  <c r="M19" i="4"/>
  <c r="O19" i="4" s="1"/>
  <c r="M234" i="3"/>
  <c r="L19" i="5" s="1"/>
  <c r="O25" i="4"/>
  <c r="P169" i="4"/>
  <c r="P95" i="4"/>
  <c r="P60" i="4"/>
  <c r="K60" i="4"/>
  <c r="I60" i="4" s="1"/>
  <c r="P68" i="4"/>
  <c r="P210" i="4"/>
  <c r="P42" i="4"/>
  <c r="K42" i="4"/>
  <c r="I42" i="4" s="1"/>
  <c r="P205" i="4"/>
  <c r="P195" i="4"/>
  <c r="P240" i="4"/>
  <c r="K240" i="4"/>
  <c r="I240" i="4" s="1"/>
  <c r="P206" i="4"/>
  <c r="P50" i="4"/>
  <c r="K50" i="4"/>
  <c r="I50" i="4" s="1"/>
  <c r="P37" i="4"/>
  <c r="K37" i="4"/>
  <c r="I37" i="4" s="1"/>
  <c r="P156" i="4"/>
  <c r="K156" i="4"/>
  <c r="I156" i="4" s="1"/>
  <c r="P187" i="4"/>
  <c r="P180" i="4"/>
  <c r="P186" i="4"/>
  <c r="K186" i="4"/>
  <c r="I186" i="4" s="1"/>
  <c r="P131" i="4"/>
  <c r="K131" i="4"/>
  <c r="I131" i="4" s="1"/>
  <c r="P148" i="4"/>
  <c r="K148" i="4"/>
  <c r="I148" i="4" s="1"/>
  <c r="P73" i="4"/>
  <c r="K73" i="4"/>
  <c r="I73" i="4" s="1"/>
  <c r="P176" i="4"/>
  <c r="P188" i="4"/>
  <c r="K188" i="4"/>
  <c r="I188" i="4" s="1"/>
  <c r="P38" i="4"/>
  <c r="K38" i="4"/>
  <c r="I38" i="4" s="1"/>
  <c r="P20" i="4"/>
  <c r="P192" i="4"/>
  <c r="P204" i="4"/>
  <c r="P164" i="4"/>
  <c r="P183" i="4"/>
  <c r="K183" i="4"/>
  <c r="I183" i="4" s="1"/>
  <c r="P223" i="4"/>
  <c r="K223" i="4"/>
  <c r="I223" i="4" s="1"/>
  <c r="P84" i="4"/>
  <c r="P162" i="4"/>
  <c r="P36" i="4"/>
  <c r="K36" i="4"/>
  <c r="I36" i="4" s="1"/>
  <c r="P121" i="4"/>
  <c r="K121" i="4"/>
  <c r="I121" i="4" s="1"/>
  <c r="P48" i="4"/>
  <c r="K48" i="4"/>
  <c r="I48" i="4" s="1"/>
  <c r="P219" i="4"/>
  <c r="P79" i="4"/>
  <c r="P233" i="4"/>
  <c r="P106" i="4"/>
  <c r="P55" i="4"/>
  <c r="K55" i="4"/>
  <c r="I55" i="4" s="1"/>
  <c r="P149" i="4"/>
  <c r="P120" i="4"/>
  <c r="P172" i="4"/>
  <c r="P59" i="4"/>
  <c r="P92" i="4"/>
  <c r="P67" i="4"/>
  <c r="K67" i="4"/>
  <c r="I67" i="4" s="1"/>
  <c r="P125" i="4"/>
  <c r="K125" i="4"/>
  <c r="I125" i="4" s="1"/>
  <c r="P124" i="4"/>
  <c r="K124" i="4"/>
  <c r="I124" i="4" s="1"/>
  <c r="P118" i="4"/>
  <c r="P151" i="4"/>
  <c r="P199" i="4"/>
  <c r="P62" i="4"/>
  <c r="P170" i="4"/>
  <c r="P112" i="4"/>
  <c r="P66" i="4"/>
  <c r="K66" i="4"/>
  <c r="I66" i="4" s="1"/>
  <c r="P239" i="4"/>
  <c r="K239" i="4"/>
  <c r="I239" i="4" s="1"/>
  <c r="P69" i="4"/>
  <c r="K69" i="4"/>
  <c r="I69" i="4" s="1"/>
  <c r="P211" i="4"/>
  <c r="K211" i="4"/>
  <c r="I211" i="4" s="1"/>
  <c r="P198" i="4"/>
  <c r="P41" i="4"/>
  <c r="P81" i="4"/>
  <c r="P57" i="4"/>
  <c r="P90" i="4"/>
  <c r="P154" i="4"/>
  <c r="K154" i="4"/>
  <c r="I154" i="4" s="1"/>
  <c r="P71" i="4"/>
  <c r="P58" i="4"/>
  <c r="P119" i="4"/>
  <c r="P12" i="4"/>
  <c r="P218" i="4"/>
  <c r="P213" i="4"/>
  <c r="P110" i="4"/>
  <c r="P61" i="4"/>
  <c r="K61" i="4"/>
  <c r="I61" i="4" s="1"/>
  <c r="P52" i="4"/>
  <c r="P215" i="4"/>
  <c r="P123" i="4"/>
  <c r="K123" i="4"/>
  <c r="I123" i="4" s="1"/>
  <c r="P242" i="4"/>
  <c r="K242" i="4"/>
  <c r="I242" i="4" s="1"/>
  <c r="P99" i="4"/>
  <c r="P113" i="4"/>
  <c r="P128" i="4"/>
  <c r="K128" i="4"/>
  <c r="I128" i="4" s="1"/>
  <c r="P101" i="4"/>
  <c r="P208" i="4"/>
  <c r="P221" i="4"/>
  <c r="P64" i="4"/>
  <c r="P163" i="4"/>
  <c r="P174" i="4"/>
  <c r="P10" i="4"/>
  <c r="K10" i="4"/>
  <c r="I10" i="4" s="1"/>
  <c r="P141" i="4"/>
  <c r="K141" i="4"/>
  <c r="I141" i="4" s="1"/>
  <c r="P108" i="4"/>
  <c r="K108" i="4"/>
  <c r="I108" i="4" s="1"/>
  <c r="P94" i="4"/>
  <c r="P63" i="4"/>
  <c r="K63" i="4"/>
  <c r="I63" i="4" s="1"/>
  <c r="P45" i="4"/>
  <c r="K45" i="4"/>
  <c r="I45" i="4" s="1"/>
  <c r="P189" i="4"/>
  <c r="P160" i="4"/>
  <c r="P201" i="4"/>
  <c r="P203" i="4"/>
  <c r="K203" i="4"/>
  <c r="I203" i="4" s="1"/>
  <c r="P150" i="4"/>
  <c r="P40" i="4"/>
  <c r="K40" i="4"/>
  <c r="I40" i="4" s="1"/>
  <c r="P39" i="4"/>
  <c r="K39" i="4"/>
  <c r="I39" i="4" s="1"/>
  <c r="P145" i="4"/>
  <c r="K145" i="4"/>
  <c r="I145" i="4" s="1"/>
  <c r="P56" i="4"/>
  <c r="K56" i="4"/>
  <c r="I56" i="4" s="1"/>
  <c r="P200" i="4"/>
  <c r="K200" i="4"/>
  <c r="I200" i="4" s="1"/>
  <c r="P171" i="4"/>
  <c r="P49" i="4"/>
  <c r="K49" i="4"/>
  <c r="I49" i="4" s="1"/>
  <c r="P207" i="4"/>
  <c r="P109" i="4"/>
  <c r="K109" i="4"/>
  <c r="I109" i="4" s="1"/>
  <c r="P33" i="4"/>
  <c r="P31" i="4"/>
  <c r="K31" i="4"/>
  <c r="I31" i="4" s="1"/>
  <c r="K111" i="4"/>
  <c r="I111" i="4" s="1"/>
  <c r="P238" i="4"/>
  <c r="K238" i="4"/>
  <c r="I238" i="4" s="1"/>
  <c r="P11" i="4"/>
  <c r="P178" i="4"/>
  <c r="P122" i="4"/>
  <c r="K122" i="4"/>
  <c r="I122" i="4" s="1"/>
  <c r="P155" i="4"/>
  <c r="K155" i="4"/>
  <c r="I155" i="4" s="1"/>
  <c r="P104" i="4"/>
  <c r="P70" i="4"/>
  <c r="K70" i="4"/>
  <c r="I70" i="4" s="1"/>
  <c r="P138" i="4"/>
  <c r="K138" i="4"/>
  <c r="I138" i="4" s="1"/>
  <c r="P91" i="4"/>
  <c r="P83" i="4"/>
  <c r="K83" i="4"/>
  <c r="I83" i="4" s="1"/>
  <c r="P130" i="4"/>
  <c r="K130" i="4"/>
  <c r="I130" i="4" s="1"/>
  <c r="P142" i="4"/>
  <c r="K142" i="4"/>
  <c r="I142" i="4" s="1"/>
  <c r="P127" i="4"/>
  <c r="K127" i="4"/>
  <c r="I127" i="4" s="1"/>
  <c r="P72" i="4"/>
  <c r="P191" i="4"/>
  <c r="P157" i="4"/>
  <c r="P139" i="4"/>
  <c r="K139" i="4"/>
  <c r="I139" i="4" s="1"/>
  <c r="P143" i="4"/>
  <c r="K143" i="4"/>
  <c r="I143" i="4" s="1"/>
  <c r="P77" i="4"/>
  <c r="P152" i="4"/>
  <c r="P100" i="4"/>
  <c r="P46" i="4"/>
  <c r="P196" i="4"/>
  <c r="K196" i="4"/>
  <c r="I196" i="4" s="1"/>
  <c r="P74" i="4"/>
  <c r="K74" i="4"/>
  <c r="I74" i="4" s="1"/>
  <c r="P28" i="4"/>
  <c r="K28" i="4"/>
  <c r="I28" i="4" s="1"/>
  <c r="P137" i="4"/>
  <c r="P179" i="4"/>
  <c r="P135" i="4"/>
  <c r="P44" i="4"/>
  <c r="P51" i="4"/>
  <c r="K51" i="4"/>
  <c r="I51" i="4" s="1"/>
  <c r="P78" i="4"/>
  <c r="P190" i="4"/>
  <c r="P193" i="4"/>
  <c r="K193" i="4"/>
  <c r="I193" i="4" s="1"/>
  <c r="P32" i="4"/>
  <c r="P175" i="4"/>
  <c r="P98" i="4"/>
  <c r="K98" i="4"/>
  <c r="I98" i="4" s="1"/>
  <c r="P185" i="4"/>
  <c r="P85" i="4"/>
  <c r="K85" i="4"/>
  <c r="I85" i="4" s="1"/>
  <c r="P220" i="4"/>
  <c r="P9" i="4"/>
  <c r="P146" i="4"/>
  <c r="K146" i="4"/>
  <c r="I146" i="4" s="1"/>
  <c r="P237" i="4"/>
  <c r="P126" i="4"/>
  <c r="K126" i="4"/>
  <c r="I126" i="4" s="1"/>
  <c r="P97" i="4"/>
  <c r="P96" i="4"/>
  <c r="P243" i="4"/>
  <c r="K243" i="4"/>
  <c r="I243" i="4" s="1"/>
  <c r="P86" i="4"/>
  <c r="P136" i="4"/>
  <c r="K136" i="4"/>
  <c r="I136" i="4" s="1"/>
  <c r="P134" i="4"/>
  <c r="K134" i="4"/>
  <c r="I134" i="4" s="1"/>
  <c r="P117" i="4"/>
  <c r="K117" i="4"/>
  <c r="I117" i="4" s="1"/>
  <c r="P140" i="4"/>
  <c r="P147" i="4"/>
  <c r="P27" i="4"/>
  <c r="K27" i="4"/>
  <c r="I27" i="4" s="1"/>
  <c r="P212" i="4"/>
  <c r="K212" i="4"/>
  <c r="I212" i="4" s="1"/>
  <c r="P93" i="4"/>
  <c r="P21" i="4"/>
  <c r="K21" i="4"/>
  <c r="I21" i="4" s="1"/>
  <c r="P222" i="4"/>
  <c r="K222" i="4"/>
  <c r="I222" i="4" s="1"/>
  <c r="P43" i="4"/>
  <c r="P177" i="4"/>
  <c r="K177" i="4"/>
  <c r="I177" i="4" s="1"/>
  <c r="P173" i="4"/>
  <c r="P103" i="4"/>
  <c r="P102" i="4"/>
  <c r="K102" i="4"/>
  <c r="I102" i="4" s="1"/>
  <c r="P30" i="4"/>
  <c r="K30" i="4"/>
  <c r="I30" i="4" s="1"/>
  <c r="P241" i="4"/>
  <c r="K241" i="4"/>
  <c r="I241" i="4" s="1"/>
  <c r="P13" i="4"/>
  <c r="P153" i="4"/>
  <c r="K153" i="4"/>
  <c r="I153" i="4" s="1"/>
  <c r="P209" i="4"/>
  <c r="K209" i="4"/>
  <c r="I209" i="4" s="1"/>
  <c r="P217" i="4"/>
  <c r="K217" i="4"/>
  <c r="I217" i="4" s="1"/>
  <c r="P224" i="4"/>
  <c r="P47" i="4"/>
  <c r="K47" i="4"/>
  <c r="I47" i="4" s="1"/>
  <c r="P76" i="4"/>
  <c r="P197" i="4"/>
  <c r="P129" i="4"/>
  <c r="K129" i="4"/>
  <c r="I129" i="4" s="1"/>
  <c r="P26" i="4"/>
  <c r="K26" i="4"/>
  <c r="I26" i="4" s="1"/>
  <c r="P54" i="4"/>
  <c r="P25" i="4"/>
  <c r="K25" i="4"/>
  <c r="I25" i="4" s="1"/>
  <c r="P231" i="4"/>
  <c r="P75" i="4"/>
  <c r="K75" i="4"/>
  <c r="I75" i="4" s="1"/>
  <c r="P19" i="4"/>
  <c r="P82" i="4"/>
  <c r="K82" i="4"/>
  <c r="I82" i="4" s="1"/>
  <c r="P24" i="4"/>
  <c r="K24" i="4"/>
  <c r="I24" i="4" s="1"/>
  <c r="P23" i="4"/>
  <c r="K23" i="4"/>
  <c r="I23" i="4" s="1"/>
  <c r="P22" i="4"/>
  <c r="K22" i="4"/>
  <c r="I22" i="4" s="1"/>
  <c r="O98" i="4"/>
  <c r="P114" i="3"/>
  <c r="O73" i="4"/>
  <c r="P29" i="4"/>
  <c r="O61" i="4"/>
  <c r="G16" i="3"/>
  <c r="O139" i="4"/>
  <c r="P88" i="3"/>
  <c r="P132" i="3"/>
  <c r="G244" i="3"/>
  <c r="G158" i="3"/>
  <c r="G229" i="3"/>
  <c r="F226" i="3"/>
  <c r="I17" i="5" s="1"/>
  <c r="G7" i="3"/>
  <c r="O242" i="4"/>
  <c r="O30" i="4"/>
  <c r="O117" i="4"/>
  <c r="O21" i="4"/>
  <c r="P34" i="4"/>
  <c r="O67" i="4"/>
  <c r="F230" i="4"/>
  <c r="F235" i="4"/>
  <c r="F80" i="4"/>
  <c r="M80" i="4" s="1"/>
  <c r="O146" i="4"/>
  <c r="O240" i="4"/>
  <c r="F89" i="4"/>
  <c r="M89" i="4" s="1"/>
  <c r="F133" i="4"/>
  <c r="F115" i="4"/>
  <c r="M115" i="4" s="1"/>
  <c r="P234" i="3"/>
  <c r="F167" i="4"/>
  <c r="O235" i="3"/>
  <c r="O50" i="4"/>
  <c r="F8" i="4"/>
  <c r="F159" i="4"/>
  <c r="F182" i="4"/>
  <c r="M182" i="4" s="1"/>
  <c r="O196" i="4"/>
  <c r="O51" i="4"/>
  <c r="O136" i="4"/>
  <c r="P181" i="3"/>
  <c r="P229" i="3"/>
  <c r="P7" i="3"/>
  <c r="M17" i="3"/>
  <c r="P158" i="3"/>
  <c r="M181" i="3"/>
  <c r="L16" i="5" s="1"/>
  <c r="M132" i="3"/>
  <c r="L13" i="5" s="1"/>
  <c r="M88" i="3"/>
  <c r="L11" i="5" s="1"/>
  <c r="P245" i="3"/>
  <c r="K17" i="3"/>
  <c r="I17" i="3" s="1"/>
  <c r="P18" i="3"/>
  <c r="Q159" i="3"/>
  <c r="G159" i="4" s="1"/>
  <c r="K132" i="3"/>
  <c r="I132" i="3" s="1"/>
  <c r="K234" i="3"/>
  <c r="I234" i="3" s="1"/>
  <c r="J20" i="5"/>
  <c r="O150" i="3"/>
  <c r="O185" i="3"/>
  <c r="O32" i="3"/>
  <c r="Q172" i="3"/>
  <c r="G172" i="4" s="1"/>
  <c r="M172" i="4" s="1"/>
  <c r="Q160" i="3"/>
  <c r="G160" i="4" s="1"/>
  <c r="K160" i="4" s="1"/>
  <c r="I160" i="4" s="1"/>
  <c r="Q112" i="3"/>
  <c r="G112" i="4" s="1"/>
  <c r="K112" i="4" s="1"/>
  <c r="I112" i="4" s="1"/>
  <c r="Q66" i="3"/>
  <c r="G66" i="4" s="1"/>
  <c r="Q173" i="3"/>
  <c r="G173" i="4" s="1"/>
  <c r="K173" i="4" s="1"/>
  <c r="I173" i="4" s="1"/>
  <c r="Q43" i="3"/>
  <c r="G43" i="4" s="1"/>
  <c r="K43" i="4" s="1"/>
  <c r="I43" i="4" s="1"/>
  <c r="Q58" i="3"/>
  <c r="G58" i="4" s="1"/>
  <c r="Q180" i="3"/>
  <c r="G180" i="4" s="1"/>
  <c r="M180" i="4" s="1"/>
  <c r="Q165" i="3"/>
  <c r="G165" i="4" s="1"/>
  <c r="K165" i="4" s="1"/>
  <c r="I165" i="4" s="1"/>
  <c r="Q178" i="3"/>
  <c r="G178" i="4" s="1"/>
  <c r="Q224" i="3"/>
  <c r="G224" i="4" s="1"/>
  <c r="M224" i="4" s="1"/>
  <c r="Q194" i="3"/>
  <c r="G194" i="4" s="1"/>
  <c r="Q41" i="3"/>
  <c r="G41" i="4" s="1"/>
  <c r="M41" i="4" s="1"/>
  <c r="Q220" i="3"/>
  <c r="G220" i="4" s="1"/>
  <c r="M220" i="4" s="1"/>
  <c r="Q221" i="3"/>
  <c r="G221" i="4" s="1"/>
  <c r="Q148" i="3"/>
  <c r="G148" i="4" s="1"/>
  <c r="O148" i="4" s="1"/>
  <c r="Q170" i="3"/>
  <c r="G170" i="4" s="1"/>
  <c r="Q241" i="3"/>
  <c r="G241" i="4" s="1"/>
  <c r="O241" i="4" s="1"/>
  <c r="Q219" i="3"/>
  <c r="G219" i="4" s="1"/>
  <c r="M219" i="4" s="1"/>
  <c r="Q90" i="3"/>
  <c r="G90" i="4" s="1"/>
  <c r="M90" i="4" s="1"/>
  <c r="Q54" i="3"/>
  <c r="G54" i="4" s="1"/>
  <c r="M54" i="4" s="1"/>
  <c r="Q96" i="3"/>
  <c r="G96" i="4" s="1"/>
  <c r="M96" i="4" s="1"/>
  <c r="Q205" i="3"/>
  <c r="G205" i="4" s="1"/>
  <c r="Q110" i="3"/>
  <c r="G110" i="4" s="1"/>
  <c r="Q204" i="3"/>
  <c r="G204" i="4" s="1"/>
  <c r="K204" i="4" s="1"/>
  <c r="I204" i="4" s="1"/>
  <c r="Q59" i="3"/>
  <c r="G59" i="4" s="1"/>
  <c r="M59" i="4" s="1"/>
  <c r="L12" i="5"/>
  <c r="Q151" i="3"/>
  <c r="G151" i="4" s="1"/>
  <c r="K151" i="4" s="1"/>
  <c r="I151" i="4" s="1"/>
  <c r="Q91" i="3"/>
  <c r="G91" i="4" s="1"/>
  <c r="K91" i="4" s="1"/>
  <c r="I91" i="4" s="1"/>
  <c r="Q44" i="3"/>
  <c r="G44" i="4" s="1"/>
  <c r="K44" i="4" s="1"/>
  <c r="I44" i="4" s="1"/>
  <c r="Q231" i="3"/>
  <c r="G231" i="4" s="1"/>
  <c r="K231" i="4" s="1"/>
  <c r="I231" i="4" s="1"/>
  <c r="O231" i="3"/>
  <c r="Q236" i="3"/>
  <c r="G236" i="4" s="1"/>
  <c r="M236" i="4" s="1"/>
  <c r="O118" i="3"/>
  <c r="O114" i="3" s="1"/>
  <c r="M12" i="5" s="1"/>
  <c r="Q153" i="3"/>
  <c r="G153" i="4" s="1"/>
  <c r="I7" i="5"/>
  <c r="Q169" i="3"/>
  <c r="G169" i="4" s="1"/>
  <c r="K169" i="4" s="1"/>
  <c r="I169" i="4" s="1"/>
  <c r="Q119" i="3"/>
  <c r="G119" i="4" s="1"/>
  <c r="M119" i="4" s="1"/>
  <c r="Q83" i="3"/>
  <c r="G83" i="4" s="1"/>
  <c r="O133" i="3"/>
  <c r="O90" i="3"/>
  <c r="O88" i="3" s="1"/>
  <c r="M11" i="5" s="1"/>
  <c r="Q210" i="3"/>
  <c r="G210" i="4" s="1"/>
  <c r="K210" i="4" s="1"/>
  <c r="I210" i="4" s="1"/>
  <c r="Q80" i="3"/>
  <c r="G80" i="4" s="1"/>
  <c r="Q201" i="3"/>
  <c r="G201" i="4" s="1"/>
  <c r="Q49" i="3"/>
  <c r="G49" i="4" s="1"/>
  <c r="O102" i="4"/>
  <c r="Q141" i="3"/>
  <c r="G141" i="4" s="1"/>
  <c r="O141" i="4" s="1"/>
  <c r="Q38" i="3"/>
  <c r="G38" i="4" s="1"/>
  <c r="Q143" i="3"/>
  <c r="G143" i="4" s="1"/>
  <c r="O56" i="4"/>
  <c r="Q82" i="3"/>
  <c r="G82" i="4" s="1"/>
  <c r="Q37" i="3"/>
  <c r="G37" i="4" s="1"/>
  <c r="Q70" i="3"/>
  <c r="G70" i="4" s="1"/>
  <c r="O70" i="4" s="1"/>
  <c r="Q11" i="3"/>
  <c r="G11" i="4" s="1"/>
  <c r="M11" i="4" s="1"/>
  <c r="Q239" i="3"/>
  <c r="G239" i="4" s="1"/>
  <c r="O239" i="4" s="1"/>
  <c r="Q156" i="3"/>
  <c r="G156" i="4" s="1"/>
  <c r="Q74" i="3"/>
  <c r="G74" i="4" s="1"/>
  <c r="O74" i="4" s="1"/>
  <c r="O138" i="4"/>
  <c r="Q85" i="3"/>
  <c r="G85" i="4" s="1"/>
  <c r="O85" i="4" s="1"/>
  <c r="Q12" i="3"/>
  <c r="G12" i="4" s="1"/>
  <c r="M12" i="4" s="1"/>
  <c r="O243" i="4"/>
  <c r="O222" i="4"/>
  <c r="O223" i="4"/>
  <c r="O203" i="4"/>
  <c r="Q162" i="3"/>
  <c r="G162" i="4" s="1"/>
  <c r="K162" i="4" s="1"/>
  <c r="I162" i="4" s="1"/>
  <c r="O145" i="4"/>
  <c r="O142" i="4"/>
  <c r="Q134" i="3"/>
  <c r="G134" i="4" s="1"/>
  <c r="O134" i="4" s="1"/>
  <c r="O109" i="4"/>
  <c r="O108" i="4"/>
  <c r="O75" i="4"/>
  <c r="O69" i="4"/>
  <c r="O55" i="4"/>
  <c r="Q48" i="3"/>
  <c r="G48" i="4" s="1"/>
  <c r="O49" i="4"/>
  <c r="O45" i="4"/>
  <c r="O42" i="4"/>
  <c r="Q39" i="3"/>
  <c r="G39" i="4" s="1"/>
  <c r="Q40" i="3"/>
  <c r="G40" i="4" s="1"/>
  <c r="Q36" i="3"/>
  <c r="G36" i="4" s="1"/>
  <c r="O36" i="4" s="1"/>
  <c r="O31" i="4"/>
  <c r="O28" i="4"/>
  <c r="O27" i="4"/>
  <c r="Q26" i="3"/>
  <c r="G26" i="4" s="1"/>
  <c r="O26" i="4" s="1"/>
  <c r="Q198" i="3"/>
  <c r="G198" i="4" s="1"/>
  <c r="Q22" i="3"/>
  <c r="G22" i="4" s="1"/>
  <c r="O22" i="4" s="1"/>
  <c r="Q150" i="3"/>
  <c r="G150" i="4" s="1"/>
  <c r="M150" i="4" s="1"/>
  <c r="Q84" i="3"/>
  <c r="G84" i="4" s="1"/>
  <c r="M84" i="4" s="1"/>
  <c r="Q149" i="3"/>
  <c r="G149" i="4" s="1"/>
  <c r="M149" i="4" s="1"/>
  <c r="Q32" i="3"/>
  <c r="G32" i="4" s="1"/>
  <c r="Q86" i="3"/>
  <c r="G86" i="4" s="1"/>
  <c r="K86" i="4" s="1"/>
  <c r="I86" i="4" s="1"/>
  <c r="Q62" i="3"/>
  <c r="G62" i="4" s="1"/>
  <c r="K62" i="4" s="1"/>
  <c r="I62" i="4" s="1"/>
  <c r="Q13" i="3"/>
  <c r="G13" i="4" s="1"/>
  <c r="K13" i="4" s="1"/>
  <c r="I13" i="4" s="1"/>
  <c r="O127" i="4"/>
  <c r="O122" i="4"/>
  <c r="Q212" i="3"/>
  <c r="G212" i="4" s="1"/>
  <c r="Q164" i="3"/>
  <c r="G164" i="4" s="1"/>
  <c r="K164" i="4" s="1"/>
  <c r="I164" i="4" s="1"/>
  <c r="Q118" i="3"/>
  <c r="G118" i="4" s="1"/>
  <c r="K118" i="4" s="1"/>
  <c r="I118" i="4" s="1"/>
  <c r="Q131" i="3"/>
  <c r="G131" i="4" s="1"/>
  <c r="Q94" i="3"/>
  <c r="G94" i="4" s="1"/>
  <c r="M94" i="4" s="1"/>
  <c r="Q101" i="3"/>
  <c r="G101" i="4" s="1"/>
  <c r="M101" i="4" s="1"/>
  <c r="Q217" i="3"/>
  <c r="G217" i="4" s="1"/>
  <c r="Q23" i="3"/>
  <c r="G23" i="4" s="1"/>
  <c r="Q232" i="3"/>
  <c r="G232" i="4" s="1"/>
  <c r="K232" i="4" s="1"/>
  <c r="I232" i="4" s="1"/>
  <c r="Q191" i="3"/>
  <c r="G191" i="4" s="1"/>
  <c r="K191" i="4" s="1"/>
  <c r="I191" i="4" s="1"/>
  <c r="Q116" i="3"/>
  <c r="G116" i="4" s="1"/>
  <c r="Q129" i="3"/>
  <c r="G129" i="4" s="1"/>
  <c r="O129" i="4" s="1"/>
  <c r="Q121" i="3"/>
  <c r="G121" i="4" s="1"/>
  <c r="O121" i="4" s="1"/>
  <c r="Q195" i="3"/>
  <c r="G195" i="4" s="1"/>
  <c r="K195" i="4" s="1"/>
  <c r="I195" i="4" s="1"/>
  <c r="Q209" i="3"/>
  <c r="G209" i="4" s="1"/>
  <c r="O209" i="4" s="1"/>
  <c r="Q185" i="3"/>
  <c r="G185" i="4" s="1"/>
  <c r="K185" i="4" s="1"/>
  <c r="I185" i="4" s="1"/>
  <c r="Q230" i="3"/>
  <c r="G230" i="4" s="1"/>
  <c r="Q216" i="3"/>
  <c r="G216" i="4" s="1"/>
  <c r="Q189" i="3"/>
  <c r="G189" i="4" s="1"/>
  <c r="K189" i="4" s="1"/>
  <c r="I189" i="4" s="1"/>
  <c r="Q188" i="3"/>
  <c r="G188" i="4" s="1"/>
  <c r="Q152" i="3"/>
  <c r="G152" i="4" s="1"/>
  <c r="M152" i="4" s="1"/>
  <c r="O126" i="4"/>
  <c r="O125" i="4"/>
  <c r="Q104" i="3"/>
  <c r="G104" i="4" s="1"/>
  <c r="Q76" i="3"/>
  <c r="G76" i="4" s="1"/>
  <c r="Q52" i="3"/>
  <c r="G52" i="4" s="1"/>
  <c r="K52" i="4" s="1"/>
  <c r="I52" i="4" s="1"/>
  <c r="Q20" i="3"/>
  <c r="G20" i="4" s="1"/>
  <c r="K20" i="4" s="1"/>
  <c r="I20" i="4" s="1"/>
  <c r="Q72" i="3"/>
  <c r="G72" i="4" s="1"/>
  <c r="Q46" i="3"/>
  <c r="G46" i="4" s="1"/>
  <c r="K46" i="4" s="1"/>
  <c r="I46" i="4" s="1"/>
  <c r="Q65" i="3"/>
  <c r="G65" i="4" s="1"/>
  <c r="Q78" i="3"/>
  <c r="G78" i="4" s="1"/>
  <c r="K78" i="4" s="1"/>
  <c r="I78" i="4" s="1"/>
  <c r="Q68" i="3"/>
  <c r="G68" i="4" s="1"/>
  <c r="K68" i="4" s="1"/>
  <c r="I68" i="4" s="1"/>
  <c r="Q53" i="3"/>
  <c r="G53" i="4" s="1"/>
  <c r="K53" i="4" s="1"/>
  <c r="I53" i="4" s="1"/>
  <c r="Q16" i="2"/>
  <c r="Q197" i="3"/>
  <c r="G197" i="4" s="1"/>
  <c r="O193" i="4"/>
  <c r="O123" i="4"/>
  <c r="O128" i="4"/>
  <c r="O130" i="4"/>
  <c r="O124" i="4"/>
  <c r="Q93" i="3"/>
  <c r="G93" i="4" s="1"/>
  <c r="M93" i="4" s="1"/>
  <c r="F21" i="5"/>
  <c r="Q147" i="3"/>
  <c r="G147" i="4" s="1"/>
  <c r="K147" i="4" s="1"/>
  <c r="I147" i="4" s="1"/>
  <c r="Q168" i="3"/>
  <c r="G168" i="4" s="1"/>
  <c r="Q175" i="3"/>
  <c r="G175" i="4" s="1"/>
  <c r="M175" i="4" s="1"/>
  <c r="R7" i="2"/>
  <c r="Q202" i="3"/>
  <c r="G202" i="4" s="1"/>
  <c r="K202" i="4" s="1"/>
  <c r="I202" i="4" s="1"/>
  <c r="G9" i="5"/>
  <c r="G21" i="5" s="1"/>
  <c r="G25" i="5" s="1"/>
  <c r="G29" i="5" s="1"/>
  <c r="H8" i="6" s="1"/>
  <c r="Q238" i="3"/>
  <c r="G238" i="4" s="1"/>
  <c r="R166" i="2"/>
  <c r="G167" i="3"/>
  <c r="Q99" i="3"/>
  <c r="G99" i="4" s="1"/>
  <c r="K99" i="4" s="1"/>
  <c r="I99" i="4" s="1"/>
  <c r="R16" i="2"/>
  <c r="P16" i="2"/>
  <c r="P247" i="2" s="1"/>
  <c r="P166" i="3"/>
  <c r="F168" i="4"/>
  <c r="Q228" i="3"/>
  <c r="L247" i="2"/>
  <c r="M192" i="4" l="1"/>
  <c r="O192" i="4" s="1"/>
  <c r="K213" i="4"/>
  <c r="I213" i="4" s="1"/>
  <c r="M135" i="4"/>
  <c r="O135" i="4" s="1"/>
  <c r="K187" i="4"/>
  <c r="I187" i="4" s="1"/>
  <c r="M190" i="4"/>
  <c r="O190" i="4" s="1"/>
  <c r="M171" i="4"/>
  <c r="O171" i="4" s="1"/>
  <c r="K206" i="4"/>
  <c r="I206" i="4" s="1"/>
  <c r="M179" i="4"/>
  <c r="O179" i="4" s="1"/>
  <c r="K176" i="4"/>
  <c r="I176" i="4" s="1"/>
  <c r="O234" i="3"/>
  <c r="M19" i="5" s="1"/>
  <c r="K184" i="4"/>
  <c r="I184" i="4" s="1"/>
  <c r="H7" i="6"/>
  <c r="M64" i="4"/>
  <c r="O64" i="4" s="1"/>
  <c r="K140" i="4"/>
  <c r="I140" i="4" s="1"/>
  <c r="K107" i="4"/>
  <c r="I107" i="4" s="1"/>
  <c r="K237" i="4"/>
  <c r="I237" i="4" s="1"/>
  <c r="K215" i="4"/>
  <c r="I215" i="4" s="1"/>
  <c r="K79" i="4"/>
  <c r="I79" i="4" s="1"/>
  <c r="M120" i="4"/>
  <c r="O120" i="4" s="1"/>
  <c r="K57" i="4"/>
  <c r="I57" i="4" s="1"/>
  <c r="K95" i="4"/>
  <c r="I95" i="4" s="1"/>
  <c r="K100" i="4"/>
  <c r="I100" i="4" s="1"/>
  <c r="K214" i="4"/>
  <c r="I214" i="4" s="1"/>
  <c r="K208" i="4"/>
  <c r="I208" i="4" s="1"/>
  <c r="M218" i="4"/>
  <c r="O218" i="4" s="1"/>
  <c r="M92" i="4"/>
  <c r="O92" i="4" s="1"/>
  <c r="M158" i="3"/>
  <c r="L14" i="5" s="1"/>
  <c r="O181" i="3"/>
  <c r="M16" i="5" s="1"/>
  <c r="K35" i="4"/>
  <c r="I35" i="4" s="1"/>
  <c r="M105" i="4"/>
  <c r="O105" i="4" s="1"/>
  <c r="K97" i="4"/>
  <c r="I97" i="4" s="1"/>
  <c r="O17" i="3"/>
  <c r="M10" i="5" s="1"/>
  <c r="M9" i="5" s="1"/>
  <c r="M71" i="4"/>
  <c r="O71" i="4" s="1"/>
  <c r="M207" i="4"/>
  <c r="O207" i="4" s="1"/>
  <c r="K81" i="4"/>
  <c r="I81" i="4" s="1"/>
  <c r="M103" i="4"/>
  <c r="O103" i="4" s="1"/>
  <c r="M199" i="4"/>
  <c r="O199" i="4" s="1"/>
  <c r="M77" i="4"/>
  <c r="O77" i="4" s="1"/>
  <c r="M113" i="4"/>
  <c r="O113" i="4" s="1"/>
  <c r="K33" i="4"/>
  <c r="I33" i="4" s="1"/>
  <c r="M137" i="4"/>
  <c r="O137" i="4" s="1"/>
  <c r="O116" i="4"/>
  <c r="K106" i="4"/>
  <c r="I106" i="4" s="1"/>
  <c r="M167" i="3"/>
  <c r="M166" i="3" s="1"/>
  <c r="K167" i="3"/>
  <c r="I167" i="3" s="1"/>
  <c r="Q29" i="4"/>
  <c r="M168" i="4"/>
  <c r="Q63" i="4"/>
  <c r="Q73" i="4"/>
  <c r="M78" i="4"/>
  <c r="O78" i="4" s="1"/>
  <c r="M230" i="4"/>
  <c r="O230" i="4" s="1"/>
  <c r="Q25" i="4"/>
  <c r="M91" i="4"/>
  <c r="O91" i="4" s="1"/>
  <c r="M191" i="4"/>
  <c r="O191" i="4" s="1"/>
  <c r="M20" i="4"/>
  <c r="O20" i="4" s="1"/>
  <c r="O224" i="4"/>
  <c r="M13" i="4"/>
  <c r="O13" i="4" s="1"/>
  <c r="M147" i="4"/>
  <c r="O147" i="4" s="1"/>
  <c r="M44" i="4"/>
  <c r="O44" i="4" s="1"/>
  <c r="M53" i="4"/>
  <c r="O53" i="4" s="1"/>
  <c r="M189" i="4"/>
  <c r="O189" i="4" s="1"/>
  <c r="M205" i="4"/>
  <c r="O205" i="4" s="1"/>
  <c r="M202" i="4"/>
  <c r="M198" i="4"/>
  <c r="O198" i="4" s="1"/>
  <c r="M151" i="4"/>
  <c r="O151" i="4" s="1"/>
  <c r="M160" i="4"/>
  <c r="O160" i="4" s="1"/>
  <c r="O96" i="4"/>
  <c r="M46" i="4"/>
  <c r="O46" i="4" s="1"/>
  <c r="M162" i="4"/>
  <c r="O162" i="4" s="1"/>
  <c r="M210" i="4"/>
  <c r="O210" i="4" s="1"/>
  <c r="M165" i="4"/>
  <c r="O165" i="4" s="1"/>
  <c r="M118" i="4"/>
  <c r="M114" i="4" s="1"/>
  <c r="M195" i="4"/>
  <c r="O195" i="4" s="1"/>
  <c r="Q192" i="4"/>
  <c r="O101" i="4"/>
  <c r="O149" i="4"/>
  <c r="O119" i="4"/>
  <c r="O54" i="4"/>
  <c r="M159" i="4"/>
  <c r="O159" i="4" s="1"/>
  <c r="M197" i="4"/>
  <c r="O197" i="4" s="1"/>
  <c r="M173" i="4"/>
  <c r="O173" i="4" s="1"/>
  <c r="M65" i="4"/>
  <c r="O65" i="4" s="1"/>
  <c r="M169" i="4"/>
  <c r="O169" i="4" s="1"/>
  <c r="M104" i="4"/>
  <c r="O104" i="4" s="1"/>
  <c r="M232" i="4"/>
  <c r="O232" i="4" s="1"/>
  <c r="M194" i="4"/>
  <c r="O194" i="4" s="1"/>
  <c r="M52" i="4"/>
  <c r="O52" i="4" s="1"/>
  <c r="M112" i="4"/>
  <c r="O112" i="4" s="1"/>
  <c r="M68" i="4"/>
  <c r="O68" i="4" s="1"/>
  <c r="O59" i="4"/>
  <c r="O180" i="4"/>
  <c r="M76" i="4"/>
  <c r="O76" i="4" s="1"/>
  <c r="M32" i="4"/>
  <c r="M99" i="4"/>
  <c r="M185" i="4"/>
  <c r="O185" i="4" s="1"/>
  <c r="M164" i="4"/>
  <c r="O164" i="4" s="1"/>
  <c r="M221" i="4"/>
  <c r="O221" i="4" s="1"/>
  <c r="M110" i="4"/>
  <c r="O110" i="4" s="1"/>
  <c r="M170" i="4"/>
  <c r="O152" i="4"/>
  <c r="O94" i="4"/>
  <c r="O84" i="4"/>
  <c r="O90" i="4"/>
  <c r="O220" i="4"/>
  <c r="O175" i="4"/>
  <c r="O93" i="4"/>
  <c r="O150" i="4"/>
  <c r="O12" i="4"/>
  <c r="O11" i="4"/>
  <c r="O219" i="4"/>
  <c r="O41" i="4"/>
  <c r="O172" i="4"/>
  <c r="M231" i="4"/>
  <c r="O231" i="4" s="1"/>
  <c r="M43" i="4"/>
  <c r="O43" i="4" s="1"/>
  <c r="M86" i="4"/>
  <c r="O86" i="4" s="1"/>
  <c r="M216" i="4"/>
  <c r="O216" i="4" s="1"/>
  <c r="M178" i="4"/>
  <c r="O178" i="4" s="1"/>
  <c r="M201" i="4"/>
  <c r="O201" i="4" s="1"/>
  <c r="M204" i="4"/>
  <c r="O204" i="4" s="1"/>
  <c r="M72" i="4"/>
  <c r="O72" i="4" s="1"/>
  <c r="M58" i="4"/>
  <c r="O58" i="4" s="1"/>
  <c r="M62" i="4"/>
  <c r="O62" i="4" s="1"/>
  <c r="Q111" i="4"/>
  <c r="K84" i="4"/>
  <c r="I84" i="4" s="1"/>
  <c r="Q98" i="4"/>
  <c r="K32" i="4"/>
  <c r="I32" i="4" s="1"/>
  <c r="K90" i="4"/>
  <c r="I90" i="4" s="1"/>
  <c r="K41" i="4"/>
  <c r="I41" i="4" s="1"/>
  <c r="K72" i="4"/>
  <c r="I72" i="4" s="1"/>
  <c r="K168" i="4"/>
  <c r="I168" i="4" s="1"/>
  <c r="P159" i="4"/>
  <c r="P158" i="4" s="1"/>
  <c r="K159" i="4"/>
  <c r="I159" i="4" s="1"/>
  <c r="K76" i="4"/>
  <c r="I76" i="4" s="1"/>
  <c r="K96" i="4"/>
  <c r="I96" i="4" s="1"/>
  <c r="K220" i="4"/>
  <c r="I220" i="4" s="1"/>
  <c r="K194" i="4"/>
  <c r="I194" i="4" s="1"/>
  <c r="K11" i="4"/>
  <c r="I11" i="4" s="1"/>
  <c r="K94" i="4"/>
  <c r="I94" i="4" s="1"/>
  <c r="K101" i="4"/>
  <c r="I101" i="4" s="1"/>
  <c r="K110" i="4"/>
  <c r="I110" i="4" s="1"/>
  <c r="K12" i="4"/>
  <c r="I12" i="4" s="1"/>
  <c r="K216" i="4"/>
  <c r="I216" i="4" s="1"/>
  <c r="Q190" i="4"/>
  <c r="P8" i="4"/>
  <c r="P7" i="4" s="1"/>
  <c r="P115" i="4"/>
  <c r="P114" i="4" s="1"/>
  <c r="K115" i="4"/>
  <c r="I115" i="4" s="1"/>
  <c r="P80" i="4"/>
  <c r="K80" i="4"/>
  <c r="I80" i="4" s="1"/>
  <c r="K198" i="4"/>
  <c r="I198" i="4" s="1"/>
  <c r="K170" i="4"/>
  <c r="I170" i="4" s="1"/>
  <c r="K59" i="4"/>
  <c r="I59" i="4" s="1"/>
  <c r="K219" i="4"/>
  <c r="I219" i="4" s="1"/>
  <c r="K205" i="4"/>
  <c r="I205" i="4" s="1"/>
  <c r="Q155" i="4"/>
  <c r="Q184" i="4"/>
  <c r="P133" i="4"/>
  <c r="P235" i="4"/>
  <c r="K93" i="4"/>
  <c r="I93" i="4" s="1"/>
  <c r="K201" i="4"/>
  <c r="I201" i="4" s="1"/>
  <c r="K221" i="4"/>
  <c r="I221" i="4" s="1"/>
  <c r="K119" i="4"/>
  <c r="I119" i="4" s="1"/>
  <c r="K149" i="4"/>
  <c r="I149" i="4" s="1"/>
  <c r="P182" i="4"/>
  <c r="P181" i="4" s="1"/>
  <c r="K182" i="4"/>
  <c r="I182" i="4" s="1"/>
  <c r="P89" i="4"/>
  <c r="P88" i="4" s="1"/>
  <c r="K89" i="4"/>
  <c r="I89" i="4" s="1"/>
  <c r="P230" i="4"/>
  <c r="K230" i="4"/>
  <c r="I230" i="4" s="1"/>
  <c r="K175" i="4"/>
  <c r="I175" i="4" s="1"/>
  <c r="K152" i="4"/>
  <c r="I152" i="4" s="1"/>
  <c r="K104" i="4"/>
  <c r="I104" i="4" s="1"/>
  <c r="K178" i="4"/>
  <c r="I178" i="4" s="1"/>
  <c r="K172" i="4"/>
  <c r="I172" i="4" s="1"/>
  <c r="K180" i="4"/>
  <c r="I180" i="4" s="1"/>
  <c r="K236" i="4"/>
  <c r="I236" i="4" s="1"/>
  <c r="P167" i="4"/>
  <c r="K54" i="4"/>
  <c r="I54" i="4" s="1"/>
  <c r="K197" i="4"/>
  <c r="I197" i="4" s="1"/>
  <c r="K224" i="4"/>
  <c r="I224" i="4" s="1"/>
  <c r="K65" i="4"/>
  <c r="I65" i="4" s="1"/>
  <c r="K150" i="4"/>
  <c r="I150" i="4" s="1"/>
  <c r="K58" i="4"/>
  <c r="I58" i="4" s="1"/>
  <c r="F245" i="4"/>
  <c r="Q26" i="4"/>
  <c r="Q19" i="4"/>
  <c r="F132" i="4"/>
  <c r="O13" i="5" s="1"/>
  <c r="F114" i="4"/>
  <c r="O12" i="5" s="1"/>
  <c r="Q10" i="4"/>
  <c r="Q61" i="4"/>
  <c r="M7" i="3"/>
  <c r="Q60" i="4"/>
  <c r="Q34" i="4"/>
  <c r="Q139" i="4"/>
  <c r="Q235" i="3"/>
  <c r="G235" i="4" s="1"/>
  <c r="K235" i="4" s="1"/>
  <c r="I235" i="4" s="1"/>
  <c r="Q242" i="4"/>
  <c r="Q92" i="4"/>
  <c r="Q67" i="4"/>
  <c r="Q21" i="4"/>
  <c r="Q146" i="4"/>
  <c r="F88" i="4"/>
  <c r="O11" i="5" s="1"/>
  <c r="J181" i="4"/>
  <c r="Q120" i="4"/>
  <c r="Q211" i="4"/>
  <c r="P17" i="3"/>
  <c r="J7" i="4"/>
  <c r="Q187" i="4"/>
  <c r="J114" i="4"/>
  <c r="Q117" i="4"/>
  <c r="Q177" i="4"/>
  <c r="Q136" i="4"/>
  <c r="Q87" i="4"/>
  <c r="Q240" i="4"/>
  <c r="J132" i="4"/>
  <c r="G166" i="3"/>
  <c r="Q196" i="4"/>
  <c r="Q50" i="4"/>
  <c r="Q18" i="3"/>
  <c r="G18" i="4" s="1"/>
  <c r="Q51" i="4"/>
  <c r="Q30" i="4"/>
  <c r="P244" i="3"/>
  <c r="F158" i="4"/>
  <c r="O14" i="5" s="1"/>
  <c r="F234" i="4"/>
  <c r="O19" i="5" s="1"/>
  <c r="J158" i="4"/>
  <c r="Q135" i="4"/>
  <c r="F18" i="4"/>
  <c r="F181" i="4"/>
  <c r="O16" i="5" s="1"/>
  <c r="F166" i="4"/>
  <c r="O15" i="5" s="1"/>
  <c r="J88" i="4"/>
  <c r="F229" i="4"/>
  <c r="O18" i="5" s="1"/>
  <c r="J244" i="4"/>
  <c r="J10" i="5"/>
  <c r="J9" i="5" s="1"/>
  <c r="Q133" i="3"/>
  <c r="G133" i="4" s="1"/>
  <c r="K133" i="4" s="1"/>
  <c r="I133" i="4" s="1"/>
  <c r="M16" i="3"/>
  <c r="Q89" i="3"/>
  <c r="G89" i="4" s="1"/>
  <c r="O89" i="4" s="1"/>
  <c r="K88" i="3"/>
  <c r="I88" i="3" s="1"/>
  <c r="Q182" i="3"/>
  <c r="G182" i="4" s="1"/>
  <c r="O182" i="4" s="1"/>
  <c r="K181" i="3"/>
  <c r="I181" i="3" s="1"/>
  <c r="Q115" i="3"/>
  <c r="G115" i="4" s="1"/>
  <c r="K114" i="3"/>
  <c r="I114" i="3" s="1"/>
  <c r="K7" i="3"/>
  <c r="I7" i="3" s="1"/>
  <c r="O23" i="4"/>
  <c r="Q36" i="4"/>
  <c r="O38" i="4"/>
  <c r="O132" i="3"/>
  <c r="M13" i="5" s="1"/>
  <c r="Q241" i="4"/>
  <c r="Q148" i="4"/>
  <c r="O66" i="4"/>
  <c r="O80" i="4"/>
  <c r="O153" i="4"/>
  <c r="O83" i="4"/>
  <c r="Q49" i="4"/>
  <c r="Q102" i="4"/>
  <c r="Q85" i="4"/>
  <c r="Q239" i="4"/>
  <c r="O143" i="4"/>
  <c r="Q75" i="4"/>
  <c r="Q69" i="4"/>
  <c r="Q203" i="4"/>
  <c r="Q141" i="4"/>
  <c r="Q243" i="4"/>
  <c r="Q56" i="4"/>
  <c r="Q70" i="4"/>
  <c r="Q134" i="4"/>
  <c r="O48" i="4"/>
  <c r="O37" i="4"/>
  <c r="O82" i="4"/>
  <c r="Q222" i="4"/>
  <c r="Q109" i="4"/>
  <c r="Q74" i="4"/>
  <c r="O156" i="4"/>
  <c r="Q138" i="4"/>
  <c r="Q28" i="4"/>
  <c r="Q55" i="4"/>
  <c r="Q108" i="4"/>
  <c r="O238" i="4"/>
  <c r="Q225" i="4"/>
  <c r="Q223" i="4"/>
  <c r="Q144" i="4"/>
  <c r="Q142" i="4"/>
  <c r="Q145" i="4"/>
  <c r="Q45" i="4"/>
  <c r="Q42" i="4"/>
  <c r="O40" i="4"/>
  <c r="O39" i="4"/>
  <c r="Q27" i="4"/>
  <c r="Q31" i="4"/>
  <c r="Q22" i="4"/>
  <c r="Q122" i="4"/>
  <c r="O212" i="4"/>
  <c r="Q125" i="4"/>
  <c r="O7" i="3"/>
  <c r="M7" i="5" s="1"/>
  <c r="Q200" i="4"/>
  <c r="Q193" i="4"/>
  <c r="O131" i="4"/>
  <c r="Q127" i="4"/>
  <c r="O217" i="4"/>
  <c r="Q116" i="4"/>
  <c r="Q129" i="4"/>
  <c r="Q126" i="4"/>
  <c r="Q209" i="4"/>
  <c r="Q186" i="4"/>
  <c r="O188" i="4"/>
  <c r="Q35" i="4"/>
  <c r="Q121" i="4"/>
  <c r="Q123" i="4"/>
  <c r="Q174" i="4"/>
  <c r="Q179" i="4"/>
  <c r="Q154" i="4"/>
  <c r="Q130" i="4"/>
  <c r="Q128" i="4"/>
  <c r="Q124" i="4"/>
  <c r="Q47" i="4"/>
  <c r="Q57" i="4"/>
  <c r="Q64" i="4"/>
  <c r="Q24" i="4"/>
  <c r="Q247" i="2"/>
  <c r="O183" i="4"/>
  <c r="Q157" i="4"/>
  <c r="K158" i="3"/>
  <c r="I158" i="3" s="1"/>
  <c r="Q9" i="3"/>
  <c r="G9" i="4" s="1"/>
  <c r="O245" i="3"/>
  <c r="O244" i="3" s="1"/>
  <c r="M20" i="5" s="1"/>
  <c r="L20" i="5"/>
  <c r="K244" i="3"/>
  <c r="I244" i="3" s="1"/>
  <c r="O233" i="3"/>
  <c r="O229" i="3" s="1"/>
  <c r="M18" i="5" s="1"/>
  <c r="L18" i="5"/>
  <c r="K229" i="3"/>
  <c r="I229" i="3" s="1"/>
  <c r="I14" i="5"/>
  <c r="I21" i="5" s="1"/>
  <c r="F7" i="4"/>
  <c r="O7" i="5" s="1"/>
  <c r="L10" i="5"/>
  <c r="L9" i="5" s="1"/>
  <c r="F247" i="3"/>
  <c r="P15" i="3"/>
  <c r="J8" i="5"/>
  <c r="O15" i="3"/>
  <c r="O14" i="3" s="1"/>
  <c r="M8" i="5" s="1"/>
  <c r="L8" i="5"/>
  <c r="O227" i="3"/>
  <c r="O226" i="3" s="1"/>
  <c r="M17" i="5" s="1"/>
  <c r="L17" i="5"/>
  <c r="P227" i="3"/>
  <c r="J17" i="5"/>
  <c r="K226" i="3"/>
  <c r="I226" i="3" s="1"/>
  <c r="K14" i="3"/>
  <c r="I14" i="3" s="1"/>
  <c r="P228" i="4"/>
  <c r="P236" i="4"/>
  <c r="J234" i="4"/>
  <c r="O236" i="4"/>
  <c r="G228" i="4"/>
  <c r="P232" i="4"/>
  <c r="J229" i="4"/>
  <c r="R247" i="2"/>
  <c r="Q171" i="4" l="1"/>
  <c r="Q213" i="4"/>
  <c r="Q206" i="4"/>
  <c r="Q199" i="4"/>
  <c r="Q140" i="4"/>
  <c r="Q201" i="4"/>
  <c r="Q237" i="4"/>
  <c r="Q214" i="4"/>
  <c r="Q215" i="4"/>
  <c r="Q137" i="4"/>
  <c r="Q176" i="4"/>
  <c r="O16" i="3"/>
  <c r="J8" i="6"/>
  <c r="Q107" i="4"/>
  <c r="Q208" i="4"/>
  <c r="Q79" i="4"/>
  <c r="Q105" i="4"/>
  <c r="Q71" i="4"/>
  <c r="Q103" i="4"/>
  <c r="Q76" i="4"/>
  <c r="Q218" i="4"/>
  <c r="Q100" i="4"/>
  <c r="Q95" i="4"/>
  <c r="Q97" i="4"/>
  <c r="Q113" i="4"/>
  <c r="Q81" i="4"/>
  <c r="Q207" i="4"/>
  <c r="Q33" i="4"/>
  <c r="Q77" i="4"/>
  <c r="Q54" i="4"/>
  <c r="I8" i="6"/>
  <c r="I10" i="6" s="1"/>
  <c r="J7" i="6"/>
  <c r="Q106" i="4"/>
  <c r="Q84" i="4"/>
  <c r="Q197" i="4"/>
  <c r="Q59" i="4"/>
  <c r="Q101" i="4"/>
  <c r="O118" i="4"/>
  <c r="Q149" i="4"/>
  <c r="Q104" i="4"/>
  <c r="Q234" i="3"/>
  <c r="G234" i="4" s="1"/>
  <c r="Q58" i="4"/>
  <c r="Q94" i="4"/>
  <c r="M88" i="4"/>
  <c r="M18" i="4"/>
  <c r="M17" i="4" s="1"/>
  <c r="Q170" i="4"/>
  <c r="Q32" i="4"/>
  <c r="P132" i="4"/>
  <c r="U13" i="5" s="1"/>
  <c r="Q178" i="4"/>
  <c r="M181" i="4"/>
  <c r="R16" i="5" s="1"/>
  <c r="Q221" i="4"/>
  <c r="Q119" i="4"/>
  <c r="O32" i="4"/>
  <c r="K228" i="4"/>
  <c r="I228" i="4" s="1"/>
  <c r="M228" i="4"/>
  <c r="O228" i="4" s="1"/>
  <c r="Q198" i="4"/>
  <c r="Q11" i="4"/>
  <c r="M235" i="4"/>
  <c r="M234" i="4" s="1"/>
  <c r="M133" i="4"/>
  <c r="M132" i="4" s="1"/>
  <c r="Q224" i="4"/>
  <c r="O170" i="4"/>
  <c r="K9" i="4"/>
  <c r="I9" i="4" s="1"/>
  <c r="M9" i="4"/>
  <c r="Q172" i="4"/>
  <c r="Q180" i="4"/>
  <c r="Q150" i="4"/>
  <c r="Q90" i="4"/>
  <c r="Q96" i="4"/>
  <c r="Q41" i="4"/>
  <c r="Q93" i="4"/>
  <c r="Q152" i="4"/>
  <c r="Q219" i="4"/>
  <c r="Q110" i="4"/>
  <c r="Q12" i="4"/>
  <c r="Q159" i="4"/>
  <c r="Q220" i="4"/>
  <c r="Q72" i="4"/>
  <c r="Q65" i="4"/>
  <c r="P13" i="5"/>
  <c r="H132" i="4"/>
  <c r="P12" i="5"/>
  <c r="H114" i="4"/>
  <c r="P245" i="4"/>
  <c r="P244" i="4" s="1"/>
  <c r="U20" i="5" s="1"/>
  <c r="P11" i="5"/>
  <c r="H88" i="4"/>
  <c r="Q205" i="4"/>
  <c r="Q236" i="4"/>
  <c r="P18" i="4"/>
  <c r="P17" i="4" s="1"/>
  <c r="K18" i="4"/>
  <c r="I18" i="4" s="1"/>
  <c r="P7" i="5"/>
  <c r="H7" i="4"/>
  <c r="P19" i="5"/>
  <c r="H234" i="4"/>
  <c r="Q216" i="4"/>
  <c r="Q175" i="4"/>
  <c r="P20" i="5"/>
  <c r="H244" i="4"/>
  <c r="P18" i="5"/>
  <c r="H229" i="4"/>
  <c r="Q194" i="4"/>
  <c r="P14" i="5"/>
  <c r="H158" i="4"/>
  <c r="P16" i="5"/>
  <c r="H181" i="4"/>
  <c r="Q182" i="4"/>
  <c r="O115" i="4"/>
  <c r="U14" i="5"/>
  <c r="U11" i="5"/>
  <c r="P234" i="4"/>
  <c r="P229" i="4"/>
  <c r="U16" i="5"/>
  <c r="U12" i="5"/>
  <c r="Q17" i="3"/>
  <c r="G17" i="4" s="1"/>
  <c r="F17" i="4"/>
  <c r="O10" i="5" s="1"/>
  <c r="P16" i="3"/>
  <c r="Q230" i="4"/>
  <c r="Q132" i="3"/>
  <c r="G132" i="4" s="1"/>
  <c r="J17" i="4"/>
  <c r="O133" i="4"/>
  <c r="O132" i="4" s="1"/>
  <c r="S13" i="5" s="1"/>
  <c r="F244" i="4"/>
  <c r="O20" i="5" s="1"/>
  <c r="Q88" i="3"/>
  <c r="G88" i="4" s="1"/>
  <c r="Q8" i="3"/>
  <c r="G8" i="4" s="1"/>
  <c r="M8" i="4" s="1"/>
  <c r="Q38" i="4"/>
  <c r="Q114" i="3"/>
  <c r="G114" i="4" s="1"/>
  <c r="K16" i="3"/>
  <c r="I16" i="3" s="1"/>
  <c r="Q89" i="4"/>
  <c r="Q181" i="3"/>
  <c r="G181" i="4" s="1"/>
  <c r="Q23" i="4"/>
  <c r="Q112" i="4"/>
  <c r="Q169" i="4"/>
  <c r="Q173" i="4"/>
  <c r="Q160" i="4"/>
  <c r="Q66" i="4"/>
  <c r="Q43" i="4"/>
  <c r="Q83" i="4"/>
  <c r="Q80" i="4"/>
  <c r="Q44" i="4"/>
  <c r="Q151" i="4"/>
  <c r="Q91" i="4"/>
  <c r="Q165" i="4"/>
  <c r="Q204" i="4"/>
  <c r="Q153" i="4"/>
  <c r="M247" i="3"/>
  <c r="Q210" i="4"/>
  <c r="Q143" i="4"/>
  <c r="Q162" i="4"/>
  <c r="Q48" i="4"/>
  <c r="Q82" i="4"/>
  <c r="Q238" i="4"/>
  <c r="Q37" i="4"/>
  <c r="Q156" i="4"/>
  <c r="Q39" i="4"/>
  <c r="Q40" i="4"/>
  <c r="Q232" i="4"/>
  <c r="Q86" i="4"/>
  <c r="Q13" i="4"/>
  <c r="Q212" i="4"/>
  <c r="Q118" i="4"/>
  <c r="Q185" i="4"/>
  <c r="Q131" i="4"/>
  <c r="Q164" i="4"/>
  <c r="Q78" i="4"/>
  <c r="Q62" i="4"/>
  <c r="Q68" i="4"/>
  <c r="Q217" i="4"/>
  <c r="Q147" i="4"/>
  <c r="Q191" i="4"/>
  <c r="Q231" i="4"/>
  <c r="Q189" i="4"/>
  <c r="Q195" i="4"/>
  <c r="Q188" i="4"/>
  <c r="Q53" i="4"/>
  <c r="Q183" i="4"/>
  <c r="Q46" i="4"/>
  <c r="Q20" i="4"/>
  <c r="Q52" i="4"/>
  <c r="O99" i="4"/>
  <c r="O88" i="4" s="1"/>
  <c r="S11" i="5" s="1"/>
  <c r="Q163" i="3"/>
  <c r="K234" i="4"/>
  <c r="I234" i="4" s="1"/>
  <c r="O202" i="4"/>
  <c r="O181" i="4" s="1"/>
  <c r="S16" i="5" s="1"/>
  <c r="Q245" i="3"/>
  <c r="Q233" i="3"/>
  <c r="K166" i="3"/>
  <c r="I166" i="3" s="1"/>
  <c r="O167" i="3"/>
  <c r="O166" i="3" s="1"/>
  <c r="M15" i="5" s="1"/>
  <c r="M21" i="5" s="1"/>
  <c r="M25" i="5" s="1"/>
  <c r="M29" i="5" s="1"/>
  <c r="H16" i="6" s="1"/>
  <c r="L15" i="5"/>
  <c r="G247" i="3"/>
  <c r="L7" i="5"/>
  <c r="J21" i="5"/>
  <c r="J247" i="3"/>
  <c r="Q15" i="3"/>
  <c r="F227" i="4"/>
  <c r="P226" i="3"/>
  <c r="Q227" i="3"/>
  <c r="P14" i="3"/>
  <c r="F15" i="4"/>
  <c r="P168" i="4"/>
  <c r="J166" i="4"/>
  <c r="O168" i="4"/>
  <c r="K8" i="6" l="1"/>
  <c r="K10" i="6" s="1"/>
  <c r="H15" i="6"/>
  <c r="O114" i="4"/>
  <c r="S12" i="5" s="1"/>
  <c r="O18" i="4"/>
  <c r="O17" i="4" s="1"/>
  <c r="S10" i="5" s="1"/>
  <c r="M16" i="4"/>
  <c r="O235" i="4"/>
  <c r="O234" i="4" s="1"/>
  <c r="S19" i="5" s="1"/>
  <c r="M7" i="4"/>
  <c r="K17" i="4"/>
  <c r="I17" i="4" s="1"/>
  <c r="I247" i="3"/>
  <c r="O8" i="4"/>
  <c r="K8" i="4"/>
  <c r="I8" i="4" s="1"/>
  <c r="P10" i="5"/>
  <c r="H17" i="4"/>
  <c r="P15" i="5"/>
  <c r="H166" i="4"/>
  <c r="P16" i="4"/>
  <c r="U9" i="5" s="1"/>
  <c r="R12" i="5"/>
  <c r="Q235" i="4"/>
  <c r="Q234" i="4" s="1"/>
  <c r="U10" i="5"/>
  <c r="K114" i="4"/>
  <c r="I114" i="4" s="1"/>
  <c r="Q115" i="4"/>
  <c r="Q114" i="4" s="1"/>
  <c r="U18" i="5"/>
  <c r="P166" i="4"/>
  <c r="R19" i="5"/>
  <c r="U19" i="5"/>
  <c r="F16" i="4"/>
  <c r="O9" i="5" s="1"/>
  <c r="U7" i="5"/>
  <c r="R10" i="5"/>
  <c r="R13" i="5"/>
  <c r="Q133" i="4"/>
  <c r="Q132" i="4" s="1"/>
  <c r="Q7" i="3"/>
  <c r="G7" i="4" s="1"/>
  <c r="R7" i="5" s="1"/>
  <c r="Q18" i="4"/>
  <c r="Q17" i="4" s="1"/>
  <c r="K132" i="4"/>
  <c r="I132" i="4" s="1"/>
  <c r="J16" i="4"/>
  <c r="Q16" i="3"/>
  <c r="G16" i="4" s="1"/>
  <c r="F226" i="4"/>
  <c r="O17" i="5" s="1"/>
  <c r="O9" i="4"/>
  <c r="L21" i="5"/>
  <c r="Q228" i="4"/>
  <c r="Q99" i="4"/>
  <c r="Q88" i="4" s="1"/>
  <c r="K88" i="4"/>
  <c r="I88" i="4" s="1"/>
  <c r="R11" i="5"/>
  <c r="G163" i="4"/>
  <c r="Q158" i="3"/>
  <c r="G158" i="4" s="1"/>
  <c r="Q9" i="4"/>
  <c r="O247" i="3"/>
  <c r="Q202" i="4"/>
  <c r="Q181" i="4" s="1"/>
  <c r="K181" i="4"/>
  <c r="I181" i="4" s="1"/>
  <c r="Q244" i="3"/>
  <c r="G244" i="4" s="1"/>
  <c r="G245" i="4"/>
  <c r="G233" i="4"/>
  <c r="Q229" i="3"/>
  <c r="G229" i="4" s="1"/>
  <c r="Q167" i="3"/>
  <c r="K247" i="3"/>
  <c r="G15" i="4"/>
  <c r="M15" i="4" s="1"/>
  <c r="M14" i="4" s="1"/>
  <c r="Q14" i="3"/>
  <c r="F14" i="4"/>
  <c r="P247" i="3"/>
  <c r="G227" i="4"/>
  <c r="K227" i="4" s="1"/>
  <c r="I227" i="4" s="1"/>
  <c r="Q226" i="3"/>
  <c r="G226" i="4" s="1"/>
  <c r="Q168" i="4"/>
  <c r="J16" i="6" l="1"/>
  <c r="O16" i="4"/>
  <c r="S9" i="5" s="1"/>
  <c r="I16" i="6"/>
  <c r="I18" i="6" s="1"/>
  <c r="J15" i="6"/>
  <c r="M227" i="4"/>
  <c r="M226" i="4" s="1"/>
  <c r="K163" i="4"/>
  <c r="I163" i="4" s="1"/>
  <c r="M163" i="4"/>
  <c r="M158" i="4" s="1"/>
  <c r="K233" i="4"/>
  <c r="I233" i="4" s="1"/>
  <c r="M233" i="4"/>
  <c r="M229" i="4" s="1"/>
  <c r="K245" i="4"/>
  <c r="I245" i="4" s="1"/>
  <c r="M245" i="4"/>
  <c r="M244" i="4" s="1"/>
  <c r="O7" i="4"/>
  <c r="S7" i="5" s="1"/>
  <c r="P9" i="5"/>
  <c r="H16" i="4"/>
  <c r="K15" i="4"/>
  <c r="I15" i="4" s="1"/>
  <c r="K16" i="4"/>
  <c r="I16" i="4" s="1"/>
  <c r="U15" i="5"/>
  <c r="Q8" i="4"/>
  <c r="Q7" i="4" s="1"/>
  <c r="R9" i="5"/>
  <c r="K7" i="4"/>
  <c r="I7" i="4" s="1"/>
  <c r="Q16" i="4"/>
  <c r="F247" i="4"/>
  <c r="O8" i="5"/>
  <c r="O21" i="5" s="1"/>
  <c r="G167" i="4"/>
  <c r="Q166" i="3"/>
  <c r="G166" i="4" s="1"/>
  <c r="J14" i="4"/>
  <c r="P15" i="4"/>
  <c r="G14" i="4"/>
  <c r="R8" i="5"/>
  <c r="O15" i="4"/>
  <c r="O14" i="4" s="1"/>
  <c r="S8" i="5" s="1"/>
  <c r="P227" i="4"/>
  <c r="J226" i="4"/>
  <c r="K16" i="6" l="1"/>
  <c r="K18" i="6" s="1"/>
  <c r="O163" i="4"/>
  <c r="O158" i="4" s="1"/>
  <c r="S14" i="5" s="1"/>
  <c r="R14" i="5"/>
  <c r="K167" i="4"/>
  <c r="I167" i="4" s="1"/>
  <c r="M167" i="4"/>
  <c r="M166" i="4" s="1"/>
  <c r="M247" i="4" s="1"/>
  <c r="O227" i="4"/>
  <c r="O226" i="4" s="1"/>
  <c r="S17" i="5" s="1"/>
  <c r="P17" i="5"/>
  <c r="H226" i="4"/>
  <c r="P8" i="5"/>
  <c r="H14" i="4"/>
  <c r="P14" i="4"/>
  <c r="P226" i="4"/>
  <c r="R17" i="5"/>
  <c r="Q15" i="4"/>
  <c r="Q14" i="4" s="1"/>
  <c r="Q247" i="3"/>
  <c r="R20" i="5"/>
  <c r="O245" i="4"/>
  <c r="O244" i="4" s="1"/>
  <c r="S20" i="5" s="1"/>
  <c r="O233" i="4"/>
  <c r="O229" i="4" s="1"/>
  <c r="S18" i="5" s="1"/>
  <c r="R18" i="5"/>
  <c r="G247" i="4"/>
  <c r="J247" i="4"/>
  <c r="Q227" i="4"/>
  <c r="Q226" i="4" s="1"/>
  <c r="K226" i="4"/>
  <c r="I226" i="4" s="1"/>
  <c r="P21" i="5" l="1"/>
  <c r="H247" i="4"/>
  <c r="P247" i="4"/>
  <c r="U17" i="5"/>
  <c r="U8" i="5"/>
  <c r="K14" i="4"/>
  <c r="I14" i="4" s="1"/>
  <c r="Q163" i="4"/>
  <c r="Q158" i="4" s="1"/>
  <c r="K158" i="4"/>
  <c r="I158" i="4" s="1"/>
  <c r="Q245" i="4"/>
  <c r="Q244" i="4" s="1"/>
  <c r="K244" i="4"/>
  <c r="I244" i="4" s="1"/>
  <c r="Q233" i="4"/>
  <c r="Q229" i="4" s="1"/>
  <c r="K229" i="4"/>
  <c r="I229" i="4" s="1"/>
  <c r="O167" i="4"/>
  <c r="O166" i="4" s="1"/>
  <c r="U21" i="5" l="1"/>
  <c r="S15" i="5"/>
  <c r="S21" i="5" s="1"/>
  <c r="S25" i="5" s="1"/>
  <c r="S29" i="5" s="1"/>
  <c r="H24" i="6" s="1"/>
  <c r="O247" i="4"/>
  <c r="R15" i="5"/>
  <c r="R21" i="5" s="1"/>
  <c r="Q167" i="4"/>
  <c r="Q166" i="4" s="1"/>
  <c r="Q247" i="4" s="1"/>
  <c r="K166" i="4"/>
  <c r="J24" i="6" l="1"/>
  <c r="K247" i="4"/>
  <c r="I166" i="4"/>
  <c r="I247" i="4" s="1"/>
  <c r="E10" i="6"/>
  <c r="H23" i="6" l="1"/>
  <c r="I24" i="6" l="1"/>
  <c r="I26" i="6" s="1"/>
  <c r="J23" i="6"/>
  <c r="K24" i="6" s="1"/>
  <c r="K26" i="6" s="1"/>
</calcChain>
</file>

<file path=xl/sharedStrings.xml><?xml version="1.0" encoding="utf-8"?>
<sst xmlns="http://schemas.openxmlformats.org/spreadsheetml/2006/main" count="2221" uniqueCount="541">
  <si>
    <t>Nr.p.k.</t>
  </si>
  <si>
    <t>Tehnisko palīglīdzekļu grupa un apakšgrupa</t>
  </si>
  <si>
    <t>Nodošanas veids (patapinājumā vai īpašumā)</t>
  </si>
  <si>
    <t>Laiks, pēc kura beigām persona var tikt uzņemta rindā pēc jauna tehniskā palīglīdzekļa (gadi)</t>
  </si>
  <si>
    <t>1./144</t>
  </si>
  <si>
    <t>Nepārtraukta pozitīva spiediena elpceļos nodrošināšanas terapijas iekārta (CPAP)</t>
  </si>
  <si>
    <t>Īpašumā</t>
  </si>
  <si>
    <t>2./145</t>
  </si>
  <si>
    <t>Automātiska pozitīva spiediena elpceļos nodrošināšanas terapijas iekārta (APAP)</t>
  </si>
  <si>
    <t>Iekārta ilgstošai skābekļa terapijai ārpus ārstniecības iestādes (skābekļa koncentrators) ar plūsmu līdz 5l/min</t>
  </si>
  <si>
    <t>Patapinājumā</t>
  </si>
  <si>
    <t>Pulsa oksimetrs pieaugušajiem</t>
  </si>
  <si>
    <t>5./1.</t>
  </si>
  <si>
    <t>Spilveni izgulējumu profilaksei</t>
  </si>
  <si>
    <t>Pretizgulējumu matracis</t>
  </si>
  <si>
    <t>2. Palīglīdzekļi apmācību un prasmju apgūšanai (05)</t>
  </si>
  <si>
    <t>7./98</t>
  </si>
  <si>
    <t>Vertikalizācijas galdi bērniem (daudzfunkcionālie)</t>
  </si>
  <si>
    <t>3. Individuāli izgatavojamās ortozes (06)</t>
  </si>
  <si>
    <t>8./3.1</t>
  </si>
  <si>
    <t>Jostas-krustu ortozes, plastikāts</t>
  </si>
  <si>
    <t>9./4.1</t>
  </si>
  <si>
    <t>Krūškurvja ortozes ķīļveida krūškurvim, plastikāts, metāls</t>
  </si>
  <si>
    <t>10./6.1</t>
  </si>
  <si>
    <t>Krūškurvja-jostas-krustu ortozes, plastikāts</t>
  </si>
  <si>
    <t>Krūškurvja-jostas-krustu ortozes ar iestrādātām metāla struktūrdaļām, plastikāts</t>
  </si>
  <si>
    <t xml:space="preserve">Skoliozes korekcijas ortozes ar korekciju 1 plaknē (sagitālā); plastikāts, t.sk. patoloģiskas kifozes korekcijai un lordozēšanas/delordozēšanas ortoze vai neiromuskulāras skoliozes korekcijas ortozes </t>
  </si>
  <si>
    <t xml:space="preserve">Skoliozes korekcijas ortozes ar korekciju 2 plaknēs (sagitālā un frontālā), plastikāts </t>
  </si>
  <si>
    <t>14./6.3</t>
  </si>
  <si>
    <t>15./6.1.</t>
  </si>
  <si>
    <t xml:space="preserve">Krūškurvja-jostas-krustu ortozes (stabilizējošās, pēcoperācijas periodam), plastikāts </t>
  </si>
  <si>
    <t>Vertikalizācijas ortozes</t>
  </si>
  <si>
    <t>Vertikalizācijas ortozes ar galvas balstu</t>
  </si>
  <si>
    <t>Sēdortozes bez skoliozes korekcijas</t>
  </si>
  <si>
    <t>Sēdortozes bez skoliozes korekcijas, ar galvas balstu</t>
  </si>
  <si>
    <t xml:space="preserve">Sēdortozes, skoliozes korekcijas </t>
  </si>
  <si>
    <t xml:space="preserve">Sēdortozes, skoliozes korekcijas, ar galvas balstu </t>
  </si>
  <si>
    <t>22./7.1</t>
  </si>
  <si>
    <t>Kakla ortozes, plastikāts</t>
  </si>
  <si>
    <t>23./8.1</t>
  </si>
  <si>
    <t>Kakla-krūškurvja ortozes, plastikāts</t>
  </si>
  <si>
    <t>Kakla-krūškurvja ortozes ar iestrādātām metāla struktūrdaļām, plastikāts</t>
  </si>
  <si>
    <t>25./9.1.</t>
  </si>
  <si>
    <t>Kakla-krūškurvja-jostas-krustu ortozes, plastikāts</t>
  </si>
  <si>
    <t>Kakla-krūškurvja-jostas-krustu ortozes ar iestrādātām metāla struktūrdaļām, plastikāts</t>
  </si>
  <si>
    <t>27./10.1</t>
  </si>
  <si>
    <t>Galvas ortozes pēc trepanācijas, plastikāts</t>
  </si>
  <si>
    <t>28./10.1</t>
  </si>
  <si>
    <t>Galvas ortozes bez sejas daļas, plastikāts</t>
  </si>
  <si>
    <t>29./10.1.</t>
  </si>
  <si>
    <t xml:space="preserve">Galvas sejas ortozes, plastikāts </t>
  </si>
  <si>
    <t>30./10.1</t>
  </si>
  <si>
    <t>Galvas ortozes galvas korekcijai bērniem, plastikāts</t>
  </si>
  <si>
    <t>31./15.1</t>
  </si>
  <si>
    <t>Plaukstas locītavas-plaukstas ortozes, plastikāts</t>
  </si>
  <si>
    <t>Plaukstas locītavas-plaukstas ortozes, laminētas</t>
  </si>
  <si>
    <t>33./16.1</t>
  </si>
  <si>
    <t>Plaukstas locītavas-plaukstas-pirksta ortozes, plastikāts</t>
  </si>
  <si>
    <t>34./17.1.</t>
  </si>
  <si>
    <t>Elkoņa ortozes, plastikāts</t>
  </si>
  <si>
    <t>Elkoņa ortozes, laminētas</t>
  </si>
  <si>
    <t>36./18.1</t>
  </si>
  <si>
    <t>Elkoņa-apakšdelma-plaukstas ortozes, plastikāts</t>
  </si>
  <si>
    <t>37./21.1</t>
  </si>
  <si>
    <t>Pleca-elkoņa-plaukstas locītavas-plaukstas ortozes, plastikāts</t>
  </si>
  <si>
    <t>38./21.5</t>
  </si>
  <si>
    <t>Plastikāta plaukstas locītava ar 1 (vienu) asi, pāris</t>
  </si>
  <si>
    <t>39./21.5</t>
  </si>
  <si>
    <t>Plastikāta plaukstas locītava kontraktūras profilaksei, ar regulējamu leņķi, pāris</t>
  </si>
  <si>
    <t>40./21.5</t>
  </si>
  <si>
    <t>Plaukstas locītava ar vērpes atsperi pasīvai korekcijai</t>
  </si>
  <si>
    <t>41./21.5</t>
  </si>
  <si>
    <t>Plastikāta plaukstas locītava ar pirkstu un plaukstas fleksijas-ekstenzijas sistēmu, pāris</t>
  </si>
  <si>
    <t>42./21.4</t>
  </si>
  <si>
    <t>Elkoņa locītava ar 1 (vienu) asi, pāris</t>
  </si>
  <si>
    <t>43./21.4</t>
  </si>
  <si>
    <t>Elkoņa locītava ar vairākām asīm, pāris</t>
  </si>
  <si>
    <t>44./21.4</t>
  </si>
  <si>
    <t>Elkoņa locītava kontraktūras gadījumā, ar regulējamu leņķi, pāris</t>
  </si>
  <si>
    <t>45./21.4</t>
  </si>
  <si>
    <t>Elkoņa locītava ar ierobežotu, regulējamu fleksijas-ekstenzijas lielumu, pāris</t>
  </si>
  <si>
    <t>46./21.4</t>
  </si>
  <si>
    <t xml:space="preserve">Elkoņa locītava ar vērpes atsperi </t>
  </si>
  <si>
    <t>47./23.1</t>
  </si>
  <si>
    <t>Potītes-pēdas ortozes, plastikāts</t>
  </si>
  <si>
    <t>48./23.1</t>
  </si>
  <si>
    <t>Potītes-pēdas ortozes, dinamiskā, plastikāts</t>
  </si>
  <si>
    <t>Potītes-pēdas ortozes, izgatavotas no PRE-PREG, oglekļa materiāla</t>
  </si>
  <si>
    <t>Potītes-pēdas ortozes, laminētas</t>
  </si>
  <si>
    <t>Metatarsus adductus/abductus korekcijas ortozes, plastikāts</t>
  </si>
  <si>
    <t>52./23.3</t>
  </si>
  <si>
    <t>Greizās pēdas abdukcijas ortoze ar sliedi un multiaksiālu zābaciņu (Denisa-Brauna tipa)</t>
  </si>
  <si>
    <t>53./23.3</t>
  </si>
  <si>
    <t>Greizās pēdas abdukcijas ortozes (Denisa-Brauna tipa) izaugšanas korekcija (apavu nomaiņa)</t>
  </si>
  <si>
    <t>54./24.1</t>
  </si>
  <si>
    <t>Ceļa ortozes, plastikāts</t>
  </si>
  <si>
    <t>55./25.1</t>
  </si>
  <si>
    <t>Ceļa-potītes-pēdas ortozes, plastikāts</t>
  </si>
  <si>
    <t>Ceļa-potītes-pēdas ortozes, izgatavotas no PRE-PREG, oglekļa materiāla</t>
  </si>
  <si>
    <t>Ceļa-potītes-pēdas ortozes, laminētas</t>
  </si>
  <si>
    <t>58./26.1</t>
  </si>
  <si>
    <t>Gūžas ortozes, ieskaitot abdukcijas ortozes, plastikāts, (bērniem)</t>
  </si>
  <si>
    <t>59./26.1.</t>
  </si>
  <si>
    <t>60./26.1</t>
  </si>
  <si>
    <t>Gūžas ortozes, plastikāts, (pieaugušajiem)</t>
  </si>
  <si>
    <t>61./27.1</t>
  </si>
  <si>
    <t>Gūžas-ceļa ortozes, plastikāts</t>
  </si>
  <si>
    <t>62./28.1</t>
  </si>
  <si>
    <t>Gūžas-ceļa-potītes-pēdas ortozes, plastikāts</t>
  </si>
  <si>
    <t>Gūžas-ceļa-potītes-pēdas ortozes, izgatavotas no PRE-PREG, oglekļa materiāla</t>
  </si>
  <si>
    <t>Gūžas-ceļa-potītes-pēdas ortozes, laminētas</t>
  </si>
  <si>
    <t xml:space="preserve">Reciprokās gaitas ortozes </t>
  </si>
  <si>
    <t>66./28.5</t>
  </si>
  <si>
    <t>Polimēra potītes locītava, pāris</t>
  </si>
  <si>
    <t>67./28.5</t>
  </si>
  <si>
    <t>1 asu metāla potītes locītava, pāris</t>
  </si>
  <si>
    <t>68./28.5</t>
  </si>
  <si>
    <t>Metāla potītes locītava ar fleksijas-ekstenzijas ierobežojumu, pāris</t>
  </si>
  <si>
    <t>69./28.5</t>
  </si>
  <si>
    <t>Potītes locītava ar asistenci fleksijā un ekstenzijā, ar dorsofleksijas funkciju, pāris</t>
  </si>
  <si>
    <t>Oglekļa atspere</t>
  </si>
  <si>
    <t>71./28.4</t>
  </si>
  <si>
    <t>Metāla, brīva 1 asu ceļa locītava, pāris</t>
  </si>
  <si>
    <t>72./28.4</t>
  </si>
  <si>
    <t>Metāla, brīva 2 asu ceļa locītava, pāris</t>
  </si>
  <si>
    <t>73./28.4</t>
  </si>
  <si>
    <t>1 asu ceļa locītava ar atslēgu, "slēdzama", pāris</t>
  </si>
  <si>
    <t>74./28.4.</t>
  </si>
  <si>
    <t>Ceļa kontraktūras locītava ar maināmu leņķi, pāris</t>
  </si>
  <si>
    <t>75./28.4</t>
  </si>
  <si>
    <t>Ceļa locītava ar vērpes atsperi</t>
  </si>
  <si>
    <t>76./28.3</t>
  </si>
  <si>
    <t>Gūžas locītava ar atslēgu, "slēdzama", unilaterāla</t>
  </si>
  <si>
    <t>77./28.3.</t>
  </si>
  <si>
    <t>Brīvi kustīga 1 asu gūžas locītava, unilaterāla</t>
  </si>
  <si>
    <t>78./2.1</t>
  </si>
  <si>
    <t>Krustu-zarnkaula ortozes</t>
  </si>
  <si>
    <t>79./3.1</t>
  </si>
  <si>
    <t>Jostas-krustu ortozes</t>
  </si>
  <si>
    <t>80./4.1</t>
  </si>
  <si>
    <t>Krūškurvja ortozes</t>
  </si>
  <si>
    <t>81./5.1</t>
  </si>
  <si>
    <t>Krūškurvja-jostas ortozes</t>
  </si>
  <si>
    <t>82./6.1</t>
  </si>
  <si>
    <t>Krūškurvja-jostas-krustu ortozes</t>
  </si>
  <si>
    <t>83./7.1</t>
  </si>
  <si>
    <t>Kakla ortozes - fiksācijas apkakles</t>
  </si>
  <si>
    <t>84./8.1</t>
  </si>
  <si>
    <t>Kakla-krūškurvja ortozes</t>
  </si>
  <si>
    <t>85./9.1</t>
  </si>
  <si>
    <t>Kakla-krūškurvja-jostas-krustu ortozes</t>
  </si>
  <si>
    <t>86./12.1</t>
  </si>
  <si>
    <t>Trūces bandāžas</t>
  </si>
  <si>
    <t>Stomas ortozes</t>
  </si>
  <si>
    <t>88./15.1</t>
  </si>
  <si>
    <t>Plaukstas locītavas-plaukstas ortozes</t>
  </si>
  <si>
    <t>89./16.1</t>
  </si>
  <si>
    <t>Plaukstas locītavas-plaukstas-pirksta ortozes</t>
  </si>
  <si>
    <t>90./17.1</t>
  </si>
  <si>
    <t>Elkoņa ortozes</t>
  </si>
  <si>
    <t>91./18.1</t>
  </si>
  <si>
    <t>Elkoņa-apakšdelma-plaukstas ortozes</t>
  </si>
  <si>
    <t>92./19.1</t>
  </si>
  <si>
    <t>Pleca ortozes</t>
  </si>
  <si>
    <t>93./20.1</t>
  </si>
  <si>
    <t>Pleca-elkoņa ortozes</t>
  </si>
  <si>
    <t>94./21.1</t>
  </si>
  <si>
    <t>Pleca-elkoņa-plaukstas locītavas-plaukstas ortozes</t>
  </si>
  <si>
    <t>95./23.1</t>
  </si>
  <si>
    <t>Potītes-pēdas ortozes</t>
  </si>
  <si>
    <t>96./24.1</t>
  </si>
  <si>
    <t>Ceļa ortozes</t>
  </si>
  <si>
    <t>Metāla vai plastikāta vienasu ceļa locītava, pāris</t>
  </si>
  <si>
    <t>Metāla vai plastikāta daudzasu ceļa locītava, pāris</t>
  </si>
  <si>
    <t>99./25.1</t>
  </si>
  <si>
    <t>Ceļa-potītes-pēdas ortozes</t>
  </si>
  <si>
    <t>100./26.1</t>
  </si>
  <si>
    <t>Gūžas ortozes, ieskaitot abdukcijas ortozes</t>
  </si>
  <si>
    <t>101./27.1</t>
  </si>
  <si>
    <t>Gūžas-ceļa ortozes</t>
  </si>
  <si>
    <t>102./28.1</t>
  </si>
  <si>
    <t>Gūžas-ceļa-potītes-pēdas ortozes</t>
  </si>
  <si>
    <t>Kakla - krūškurvja - jostas - krustu ortozes</t>
  </si>
  <si>
    <t xml:space="preserve"> Kakla - krūškurvja - jostas - krustu  un pleca  - elkoņa ortozes kombinēti </t>
  </si>
  <si>
    <t xml:space="preserve">Kakla - krūškurvja - jostas - krustu un pleca - elkoņa – plaukstas locītavas - plaukstas ortozes kombinēti </t>
  </si>
  <si>
    <t>Galvas ortozes bez sejas daļas, ietverot kaklu</t>
  </si>
  <si>
    <t>Sejas ortozes (maskas) ietverot galvu un kaklu</t>
  </si>
  <si>
    <t>Plaukstas locītavas - plaukstas - pirkstu ortozes</t>
  </si>
  <si>
    <t>Elkoņa – apakšdelma - plaukstas locītavas - plaukstas ortozes</t>
  </si>
  <si>
    <t>Elkoņa – apakšdelma - plaukstas locītavas - plaukstas - pirkstu ortozes</t>
  </si>
  <si>
    <t>Pleca - elkoņa - plaukstas locītavas ortozes</t>
  </si>
  <si>
    <t>Pleca - elkoņa - plaukstas locītavas - plaukstas ortozes</t>
  </si>
  <si>
    <t>Pleca - elkoņa - plaukstas locītavas - plaukstas - pirkstu ortozes</t>
  </si>
  <si>
    <t>Potītes - pēdas ortozes</t>
  </si>
  <si>
    <t>Ceļa – potītes – pēdas ortozes</t>
  </si>
  <si>
    <t>Apakšstilba ortozes (neietverot ceļa un pēdas locītavu)</t>
  </si>
  <si>
    <t>Gūžas – ceļa ortozes kombinēti abām kājām kopā veidojot nepārtrauktu spiedienu iegurņa daļā</t>
  </si>
  <si>
    <t>Augšstilba ortozes (neietverot gūžas un ceļa locītavu)</t>
  </si>
  <si>
    <t xml:space="preserve">Gūžas - ceļa - potītes - pēdas ortozes kombinēti abām kājām kopā veidojot nepārtrauktu spiedienu iegurņa daļā </t>
  </si>
  <si>
    <t>4. Protēzes (06)</t>
  </si>
  <si>
    <t>120./29</t>
  </si>
  <si>
    <t>Daļējas plaukstas protēzes, ieskaitot pirkstu protēzes</t>
  </si>
  <si>
    <t>121./30</t>
  </si>
  <si>
    <t>Plaukstas locītavas protēzes</t>
  </si>
  <si>
    <t>122./31</t>
  </si>
  <si>
    <t>Transradiālās (zemelkoņa) protēzes</t>
  </si>
  <si>
    <t>123./32</t>
  </si>
  <si>
    <t>Elkoņa locītavas protēzes</t>
  </si>
  <si>
    <t>124./33</t>
  </si>
  <si>
    <t>Transhumerālās (virselkoņa) protēzes</t>
  </si>
  <si>
    <t>125./34</t>
  </si>
  <si>
    <t>Pleca locītavas protēzes</t>
  </si>
  <si>
    <t>126./35</t>
  </si>
  <si>
    <t>Protēzes pēc pleca locītavas lāpstiņas un atslēgas kaula dezartikulācijas</t>
  </si>
  <si>
    <t>127./36</t>
  </si>
  <si>
    <t>Plaukstas protēzes</t>
  </si>
  <si>
    <t>128./37</t>
  </si>
  <si>
    <t>Sazaroti āķi</t>
  </si>
  <si>
    <t>129./38</t>
  </si>
  <si>
    <t>Ierīces vai rīki plaukstas funkciju aizvietošanai</t>
  </si>
  <si>
    <t>130./39</t>
  </si>
  <si>
    <t>Pleca vienības</t>
  </si>
  <si>
    <t>131./40</t>
  </si>
  <si>
    <t>Ārējās locītavas augšējās ekstremitātes protēžu sistēmai</t>
  </si>
  <si>
    <t>132./41</t>
  </si>
  <si>
    <t>Kosmētiskās augšējās ekstremitātes protēzes</t>
  </si>
  <si>
    <t>Augšējās ekstremitātes protēzes (sportam)</t>
  </si>
  <si>
    <t>134./42</t>
  </si>
  <si>
    <t>Daļējas pēdas protēzes, ieskaitot kāju pirkstu protēzes</t>
  </si>
  <si>
    <t>135./43</t>
  </si>
  <si>
    <t>Potītes locītavas protēzes</t>
  </si>
  <si>
    <t>136./44</t>
  </si>
  <si>
    <t>Transtibiālās (zemceļa) protēzes</t>
  </si>
  <si>
    <t>137./45</t>
  </si>
  <si>
    <t>Ceļa locītavas protēzes</t>
  </si>
  <si>
    <t>138./46</t>
  </si>
  <si>
    <t>Transfemorālās (virsceļa) protēzes</t>
  </si>
  <si>
    <t>139./47</t>
  </si>
  <si>
    <t>Gūžas locītavas protēzes</t>
  </si>
  <si>
    <t>140./48</t>
  </si>
  <si>
    <t>Hemipelvektomijas protēzes</t>
  </si>
  <si>
    <t>141./49</t>
  </si>
  <si>
    <t>Ārējās locītavas apakšējās ekstremitātes protēžu sistēmām</t>
  </si>
  <si>
    <t>142./50</t>
  </si>
  <si>
    <t>Pirmreizējās protēzes agrīnai amputētas apakšējās ekstremitātes mobilizācijai</t>
  </si>
  <si>
    <t>Apakšējās ekstremitātes protēzes (sportam)</t>
  </si>
  <si>
    <t>144./51</t>
  </si>
  <si>
    <t>Krūšu protēzes</t>
  </si>
  <si>
    <t>5. Ortopēdiskie apavi (06)</t>
  </si>
  <si>
    <t>145./52</t>
  </si>
  <si>
    <t>Rehabilitācijas/profilaktiskie gatavie ortopēdiskie apavi</t>
  </si>
  <si>
    <t>146./53</t>
  </si>
  <si>
    <t xml:space="preserve">Terapeitiskie gatavie ortopēdiskie apavi </t>
  </si>
  <si>
    <t>147./54</t>
  </si>
  <si>
    <t>Individuāli klientam izgatavojami ortopēdiskie apavi</t>
  </si>
  <si>
    <t>148./55</t>
  </si>
  <si>
    <t>Individuāli klientam ar apakšējās ekstremitātes saīsinājumu izgatavojami ortopēdiskie apavi</t>
  </si>
  <si>
    <t>149./56</t>
  </si>
  <si>
    <t>Individuāli klientam ar izteiktām pēdas deformācijām vai ortozes lietotājam izgatavojami ortopēdiskie apavi</t>
  </si>
  <si>
    <t>150./57</t>
  </si>
  <si>
    <t>Individuāli klientam ar pēdas amputāciju dažādos līmeņos izgatavojami ortopēdiskie apavi</t>
  </si>
  <si>
    <t>6. Palīglīdzekļi pašaprūpes veikšanai un dalībai pašaprūpē (09)</t>
  </si>
  <si>
    <t>151./58</t>
  </si>
  <si>
    <t>Palīglīdzekļi zeķu uzvilkšanai</t>
  </si>
  <si>
    <t>152./59</t>
  </si>
  <si>
    <t>Tualetes krēsli bez riteņiem</t>
  </si>
  <si>
    <t>153./60.</t>
  </si>
  <si>
    <t>Tualetes krēsli ar riteņiem</t>
  </si>
  <si>
    <t>154./61</t>
  </si>
  <si>
    <t>Tualetes/dušas krēsli</t>
  </si>
  <si>
    <t>155./62</t>
  </si>
  <si>
    <t>Tualetes krēsli bērniem</t>
  </si>
  <si>
    <t>156./64</t>
  </si>
  <si>
    <t>Tualetes poda paaugstinājumi piestiprināmi pie tualetes poda</t>
  </si>
  <si>
    <t>157./73</t>
  </si>
  <si>
    <t>Vannas dēļi</t>
  </si>
  <si>
    <t>158./68</t>
  </si>
  <si>
    <t>Vannas krēsli bērniem</t>
  </si>
  <si>
    <t>159./71</t>
  </si>
  <si>
    <t>Vannas krēsli ar muguras balstu</t>
  </si>
  <si>
    <t>160./74</t>
  </si>
  <si>
    <t>Vannas krēsli, pagriežami, ar muguras balstu</t>
  </si>
  <si>
    <t>161./69</t>
  </si>
  <si>
    <t>Dušas krēsli bez muguras balsta</t>
  </si>
  <si>
    <t>162./70</t>
  </si>
  <si>
    <t>Dušas krēsli ar muguras balstu</t>
  </si>
  <si>
    <t>163./75</t>
  </si>
  <si>
    <t>Dušas krēsli, stiprināmi pie sienas</t>
  </si>
  <si>
    <t>Dušas krēsli ar regulējamu sēdvirsmas leņķi</t>
  </si>
  <si>
    <t>7. Palīglīdzekļi aktivitātēm un dalībai, kas saistīti ar personisko mobilitāti un transportēšanu (12)</t>
  </si>
  <si>
    <t>165./76</t>
  </si>
  <si>
    <t>Elkoņa atbalsta kruķi bērniem</t>
  </si>
  <si>
    <t>166./77</t>
  </si>
  <si>
    <t>Paduses atbalsta kruķi bērniem</t>
  </si>
  <si>
    <t>167./80</t>
  </si>
  <si>
    <t>Kvadripodi</t>
  </si>
  <si>
    <t>168./81</t>
  </si>
  <si>
    <t>Staigāšanas rāmji bez riteņiem, ar nekustīgu rāmi</t>
  </si>
  <si>
    <t>169./82</t>
  </si>
  <si>
    <t>Staigāšanas rāmji bez riteņiem, ar kustīgu rāmi</t>
  </si>
  <si>
    <t>170./83</t>
  </si>
  <si>
    <t>Rollatori ar diviem riteņiem bez sēdekļa</t>
  </si>
  <si>
    <t>171./84</t>
  </si>
  <si>
    <t>Rollatori ar diviem riteņiem bez sēdekļa bērniem</t>
  </si>
  <si>
    <t>172./85</t>
  </si>
  <si>
    <t>Rollatori ar diviem riteņiem ar sēdekli</t>
  </si>
  <si>
    <t>173./86</t>
  </si>
  <si>
    <t>Rollatori ar trīs riteņiem</t>
  </si>
  <si>
    <t>174./87</t>
  </si>
  <si>
    <t>Rollatori ar četriem riteņiem</t>
  </si>
  <si>
    <t>175./88</t>
  </si>
  <si>
    <t>Rollatori ar četriem riteņiem (ar apakšdelma balstiem)</t>
  </si>
  <si>
    <t>176./89</t>
  </si>
  <si>
    <t>Rollatori ar četriem riteņiem bērniem</t>
  </si>
  <si>
    <t>177./90</t>
  </si>
  <si>
    <t>Rollatori ar četriem riteņiem bērniem (ar virziena maiņu)</t>
  </si>
  <si>
    <t>178./91</t>
  </si>
  <si>
    <t>Rollatori ar četriem riteņiem (ar vieglāku svaru)</t>
  </si>
  <si>
    <t>179/.93</t>
  </si>
  <si>
    <t>Pārvietošanās krēsli ar fiksācijas jostām bērniem</t>
  </si>
  <si>
    <t>180./94.</t>
  </si>
  <si>
    <t>Pārvietošanās krēsli ar fiksācijas riņķi bērniem</t>
  </si>
  <si>
    <t>181./95</t>
  </si>
  <si>
    <t>Pārvietošanās krēsli bērniem (aktivitāšu)</t>
  </si>
  <si>
    <t>182./96</t>
  </si>
  <si>
    <t>Pārvietošanās galdi pieaugušajiem</t>
  </si>
  <si>
    <t>183./97</t>
  </si>
  <si>
    <t>Pārvietošanās galdi bērniem</t>
  </si>
  <si>
    <t>Autosēdeklītis bērniem</t>
  </si>
  <si>
    <t>185./108</t>
  </si>
  <si>
    <t>Bimanuālie riteņkrēsli ar mugurējo piedziņu pieaugušajiem (bāzes modelis)</t>
  </si>
  <si>
    <t>186./109</t>
  </si>
  <si>
    <t>Bimanuālie riteņkrēsli ar mugurējo piedziņu pieaugušajiem, ar X veida rāmi (ar spilvenu, ar sānu–roku balstiem, ar pretapgāšanās riteņiem)</t>
  </si>
  <si>
    <t>187./110</t>
  </si>
  <si>
    <t>Bimanuālie riteņkrēsli ar mugurējo piedziņu pieaugušajiem, ar X veida rāmi (ar spilvenu, ar roku balstiem, ar pretapgāšanās riteņiem, ar pretslīdes stīpām)</t>
  </si>
  <si>
    <t>188./111</t>
  </si>
  <si>
    <t>Bimanuālie riteņkrēsli ar mugurējo piedziņu pieaugušajiem, ar nesalokāmu rāmi (ar roku balstiem, stumšanas rokturiem, ar pretapgāšanās riteņiem, ar spilvenu)</t>
  </si>
  <si>
    <t>189./113</t>
  </si>
  <si>
    <t>Bimanuālie riteņkrēsli ar mugurējo piedziņu pieaugušajiem, ar nesalokāmu rāmi (ar roku balstiem, stumšanas rokturiem, ar pretapgāšanās riteņiem, ar pretslīdes stīpām, ar spilvenu, ar spieķu aizsargu)</t>
  </si>
  <si>
    <t>190./114</t>
  </si>
  <si>
    <t>Bimanuālie riteņkrēsli ar mugurējo piedziņu pieaugušajiem, ar nesalokāmu rāmi (ar roku balstiem, stumšanas rokturiem, ar pretapgāšanās riteņiem, ar dalītiem kāju balstiem, ar spilvenu)</t>
  </si>
  <si>
    <t>191./115</t>
  </si>
  <si>
    <t>Bimanuālie riteņkrēsli ar mugurējo piedziņu pieaugušajiem (ar polsterētu muguras balstu un sēdvirsmu, kuri ir regulējami noteiktā leņķī)</t>
  </si>
  <si>
    <t>192./116</t>
  </si>
  <si>
    <t>Bimanuālie riteņkrēsli ar mugurējo piedziņu (sportam)</t>
  </si>
  <si>
    <t>193./117</t>
  </si>
  <si>
    <t>Bimanuālie riteņkrēsli ar mugurējo piedziņu pieaugušajiem (personām ar abu kāju amputāciju)</t>
  </si>
  <si>
    <t>194./118</t>
  </si>
  <si>
    <t>Bimanuālie riteņkrēsli ar mugurējo piedziņu bērniem ar X veida rāmi</t>
  </si>
  <si>
    <t>195./119</t>
  </si>
  <si>
    <t>Bimanuālie riteņkrēsli ar mugurējo piedziņu bērniem, ar nesalokāmu rāmi</t>
  </si>
  <si>
    <t>196./120.</t>
  </si>
  <si>
    <t>Bimanuālie riteņkrēsli ar mugurējo piedziņu bērniem (ar polsterētu muguras balstu un sēdvirsmu, kuri ir regulējami noteiktā leņķī)</t>
  </si>
  <si>
    <t>197./121</t>
  </si>
  <si>
    <t>Bimanuālie vertikalizācijas riteņkrēsli ar mugurējo piedziņu</t>
  </si>
  <si>
    <t>198./123</t>
  </si>
  <si>
    <t>No vienas puses vadāmi riteņkrēsli bez piedziņas. Riteņkrēsli, kurus vada ar vienu roku</t>
  </si>
  <si>
    <t>199./103</t>
  </si>
  <si>
    <t>Manuālais pavadoņa vadāmais riteņkrēsls pieaugušajiem</t>
  </si>
  <si>
    <t>Manuālais pavadoņa vadāmais riteņkrēsls pieaugušajiem (ar maināmu muguras leņķi)</t>
  </si>
  <si>
    <t>201./104</t>
  </si>
  <si>
    <t>Manuālie pavadoņa vadāmi riteņkrēsli bērniem (ar papildaprīkojumu)</t>
  </si>
  <si>
    <t>202./105</t>
  </si>
  <si>
    <t>Manuālie pavadoņa vadāmi riteņkrēsli bērniem</t>
  </si>
  <si>
    <t>203./124</t>
  </si>
  <si>
    <t xml:space="preserve">Elektropiedziņas riteņkrēsli ar rokas stūrēšanas sistēmu (elektriskais skuters) </t>
  </si>
  <si>
    <t>204./124</t>
  </si>
  <si>
    <t>Elektropiedziņas riteņkrēsli ar motorizēti vadāmu rokas stūrēšanas sistēmu</t>
  </si>
  <si>
    <t xml:space="preserve">Elektriskais vilcējritenis </t>
  </si>
  <si>
    <t xml:space="preserve">Riteņkrēsla riteņos iebūvēto elektromotoru sistēmas </t>
  </si>
  <si>
    <t>207./125</t>
  </si>
  <si>
    <t>Slīddēlis</t>
  </si>
  <si>
    <t>Mobilais pacēlājs</t>
  </si>
  <si>
    <t>8. Palīglīdzekļi mājsaimniecības aktivitāšu veikšanai un dalībai sadzīvē (15)</t>
  </si>
  <si>
    <t>209./126</t>
  </si>
  <si>
    <t>Pielāgots virtuves dēlītis</t>
  </si>
  <si>
    <t>210./127</t>
  </si>
  <si>
    <t>Pielāgots virtuves nazis</t>
  </si>
  <si>
    <t>9. Iekārtojums, aprīkojums un citi palīglīdzekļi aktivitāšu atvieglošanai personu iekārtotā vidē iekštelpās un ārtelpās (18)</t>
  </si>
  <si>
    <t xml:space="preserve">Gultas galdi, ko izmanto gultā vai blakus gultai </t>
  </si>
  <si>
    <t>Riteņkrēslā ievietojamas individuāli izgatavojamas sēdēšanas sistēmas</t>
  </si>
  <si>
    <t xml:space="preserve">Funkcionālās gultas </t>
  </si>
  <si>
    <t>214./128</t>
  </si>
  <si>
    <t xml:space="preserve">Atbalsta rokturi, skrūvējami pie grīdas vai sienas (paceļamie) </t>
  </si>
  <si>
    <t>10. Alternatīvās komunikācijas tehniskie palīglīdzekļi (22)</t>
  </si>
  <si>
    <t>215./130</t>
  </si>
  <si>
    <t>Daudzlīmeņu runas iekārta</t>
  </si>
  <si>
    <t>216./131</t>
  </si>
  <si>
    <t>Komunikators ierunātu ziņojumu atskaņošanai</t>
  </si>
  <si>
    <t>217./132</t>
  </si>
  <si>
    <t>Runas dēlis ar izvēles iespējām</t>
  </si>
  <si>
    <t>218./135</t>
  </si>
  <si>
    <t>Augstlīmeņa komunikators</t>
  </si>
  <si>
    <t>219./136</t>
  </si>
  <si>
    <t>Programmējams komunikators</t>
  </si>
  <si>
    <t>220./138</t>
  </si>
  <si>
    <t>Komunikators ar apgaismojamiem izvēles logiem</t>
  </si>
  <si>
    <t>223./140</t>
  </si>
  <si>
    <t>Trauksmes poga + telefons</t>
  </si>
  <si>
    <t>11. Palīglīdzekļi priekšmetu un ierīču vadībai, nešanai, pārvietošanai vai satveršanai (24)</t>
  </si>
  <si>
    <t>224./129</t>
  </si>
  <si>
    <t>Manuālās satveršanas stangas</t>
  </si>
  <si>
    <t>1.	Palīglīdzekļi ķermeņa funkciju mērīšanai, atbalstīšanai, apmācībai vai aizstāšanai (04)</t>
  </si>
  <si>
    <t>3.1. Individuāli izgatavojamās ortozes (06)/ Individuāli izgatavojamās cietās ortozes</t>
  </si>
  <si>
    <t>3.2. Individuāli izgatavojamās ortozes (06)/ Individuāli izgatavojamās mīkstās ortozes</t>
  </si>
  <si>
    <t>3.3. Individuāli izgatavojamās ortozes (06)/ Individuāli izgatavojamās mīkstās kompresijas ortozes</t>
  </si>
  <si>
    <t>Alternatīvās komunikācijas iekārta ar skatienvadību (Tobii Dynavox I-series+ Communication Aid)</t>
  </si>
  <si>
    <t>Programmatūra komunikācijai (Communicator 5)</t>
  </si>
  <si>
    <t>3.1.</t>
  </si>
  <si>
    <t>3.2.</t>
  </si>
  <si>
    <t>3.3.</t>
  </si>
  <si>
    <r>
      <t>6./1.</t>
    </r>
    <r>
      <rPr>
        <vertAlign val="superscript"/>
        <sz val="10"/>
        <color rgb="FF414142"/>
        <rFont val="Calibri"/>
        <family val="2"/>
        <charset val="186"/>
        <scheme val="minor"/>
      </rPr>
      <t>2</t>
    </r>
  </si>
  <si>
    <r>
      <t xml:space="preserve">Skoliozes korekcijas ortozes ar korekciju 3 plaknēs (sagitālā, frontālā, derotācija), plastikāts, t.sk. </t>
    </r>
    <r>
      <rPr>
        <i/>
        <sz val="10"/>
        <color theme="1"/>
        <rFont val="Calibri"/>
        <family val="2"/>
        <charset val="186"/>
        <scheme val="minor"/>
      </rPr>
      <t>Cheneau</t>
    </r>
    <r>
      <rPr>
        <sz val="10"/>
        <color theme="1"/>
        <rFont val="Calibri"/>
        <family val="2"/>
        <charset val="186"/>
        <scheme val="minor"/>
      </rPr>
      <t xml:space="preserve"> tipa ortozes </t>
    </r>
  </si>
  <si>
    <r>
      <t xml:space="preserve">Gūžas ortozes, ieskaitot abdukcijas ortozes, </t>
    </r>
    <r>
      <rPr>
        <i/>
        <sz val="10"/>
        <color theme="1"/>
        <rFont val="Calibri"/>
        <family val="2"/>
        <charset val="186"/>
        <scheme val="minor"/>
      </rPr>
      <t>Swash</t>
    </r>
    <r>
      <rPr>
        <sz val="10"/>
        <color theme="1"/>
        <rFont val="Calibri"/>
        <family val="2"/>
        <charset val="186"/>
        <scheme val="minor"/>
      </rPr>
      <t xml:space="preserve"> tipa ortoze (bērniem)</t>
    </r>
  </si>
  <si>
    <r>
      <t xml:space="preserve">213./1 </t>
    </r>
    <r>
      <rPr>
        <vertAlign val="superscript"/>
        <sz val="10"/>
        <color rgb="FF414142"/>
        <rFont val="Calibri"/>
        <family val="2"/>
        <charset val="186"/>
        <scheme val="minor"/>
      </rPr>
      <t>1</t>
    </r>
  </si>
  <si>
    <t>Rinda uz 01.01.2022.</t>
  </si>
  <si>
    <t>2022. gads vidēji mēnesī</t>
  </si>
  <si>
    <t>Pieprasījums  KOPĀ 2022. gadā</t>
  </si>
  <si>
    <t>Iestādes kapacitāte</t>
  </si>
  <si>
    <t>Ietekme uz budžetu 2022. gadā, euro</t>
  </si>
  <si>
    <t>Rinda uz 01.01.2023.</t>
  </si>
  <si>
    <t>Personu skaits</t>
  </si>
  <si>
    <t>TPL skaits</t>
  </si>
  <si>
    <t>Apkalpoto personu skaits</t>
  </si>
  <si>
    <t>Izniegto TPL skaits</t>
  </si>
  <si>
    <r>
      <t xml:space="preserve">Vidējā TPL </t>
    </r>
    <r>
      <rPr>
        <u/>
        <sz val="9"/>
        <rFont val="Calibri"/>
        <family val="2"/>
        <charset val="186"/>
        <scheme val="minor"/>
      </rPr>
      <t xml:space="preserve">vienas vienības cena, </t>
    </r>
    <r>
      <rPr>
        <b/>
        <u/>
        <sz val="9"/>
        <rFont val="Calibri"/>
        <family val="2"/>
        <charset val="186"/>
        <scheme val="minor"/>
      </rPr>
      <t>euro</t>
    </r>
  </si>
  <si>
    <t>x</t>
  </si>
  <si>
    <t>X</t>
  </si>
  <si>
    <t>2023. gads vidēji mēnesī</t>
  </si>
  <si>
    <t>Pieprasījums  KOPĀ 2023. gadā</t>
  </si>
  <si>
    <t>Ietekme uz budžetu 2023. gadā, euro</t>
  </si>
  <si>
    <t>Rinda uz 01.01.2024.</t>
  </si>
  <si>
    <t>Tehniskie palīglīdzekļi KOPĀ 2022.gads</t>
  </si>
  <si>
    <t>Tehniskie palīglīdzekļi KOPĀ 2023.gads</t>
  </si>
  <si>
    <t>2024. gads vidēji mēnesī</t>
  </si>
  <si>
    <t>Pieprasījums  KOPĀ 2024. gadā</t>
  </si>
  <si>
    <t>Rinda uz 01.01.2025.</t>
  </si>
  <si>
    <t>Tehniskie palīglīdzekļi KOPĀ 2024.gads</t>
  </si>
  <si>
    <t xml:space="preserve">Tehniskie palīglīdzekļi KOPĀ </t>
  </si>
  <si>
    <t xml:space="preserve">1.	Palīglīdzekļi ķermeņa funkciju mērīšanai, atbalstīšanai, apmācībai vai aizstāšanai </t>
  </si>
  <si>
    <t>2. Palīglīdzekļi apmācību un prasmju apgūšanai</t>
  </si>
  <si>
    <t>3. Individuāli izgatavojamās ortozes</t>
  </si>
  <si>
    <t xml:space="preserve">4. Protēzes </t>
  </si>
  <si>
    <t>5. Ortopēdiskie apavi</t>
  </si>
  <si>
    <t xml:space="preserve">6. Palīglīdzekļi pašaprūpes veikšanai un dalībai pašaprūpē </t>
  </si>
  <si>
    <t>7. Palīglīdzekļi aktivitātēm un dalībai, kas saistīti ar personisko mobilitāti un transportēšanu</t>
  </si>
  <si>
    <t>8. Palīglīdzekļi mājsaimniecības aktivitāšu veikšanai un dalībai sadzīvē</t>
  </si>
  <si>
    <t>9. Iekārtojums, aprīkojums un citi palīglīdzekļi aktivitāšu atvieglošanai personu iekārtotā vidē iekštelpās un ārtelpās</t>
  </si>
  <si>
    <t>10. Alternatīvās komunikācijas tehniskie palīglīdzekļi</t>
  </si>
  <si>
    <t>11. Palīglīdzekļi priekšmetu un ierīču vadībai, nešanai, pārvietošanai vai satveršanai</t>
  </si>
  <si>
    <t>TPL pieprasījušo personu skaits KOPĀ 2022. gadā</t>
  </si>
  <si>
    <t>Izlietotais valsts budžeta finansējums</t>
  </si>
  <si>
    <t>2022.gads</t>
  </si>
  <si>
    <t xml:space="preserve">TPL saņēmušo personu skaits </t>
  </si>
  <si>
    <r>
      <t xml:space="preserve">Rinda uz 01.01.2022. / Plānotais </t>
    </r>
    <r>
      <rPr>
        <u/>
        <sz val="9"/>
        <rFont val="Calibri"/>
        <family val="2"/>
        <charset val="186"/>
        <scheme val="minor"/>
      </rPr>
      <t xml:space="preserve">personu skaits </t>
    </r>
  </si>
  <si>
    <t>2023.gads</t>
  </si>
  <si>
    <r>
      <t xml:space="preserve">Rinda uz 01.01.2023. / Plānotais </t>
    </r>
    <r>
      <rPr>
        <u/>
        <sz val="9"/>
        <rFont val="Calibri"/>
        <family val="2"/>
        <charset val="186"/>
        <scheme val="minor"/>
      </rPr>
      <t xml:space="preserve">personu skaits </t>
    </r>
  </si>
  <si>
    <t>TPL pieprasījušo personu skaits KOPĀ 2023. gadā</t>
  </si>
  <si>
    <t>2024.gads</t>
  </si>
  <si>
    <r>
      <t xml:space="preserve">Rinda uz 01.01.2024. / Plānotais </t>
    </r>
    <r>
      <rPr>
        <u/>
        <sz val="9"/>
        <rFont val="Calibri"/>
        <family val="2"/>
        <charset val="186"/>
        <scheme val="minor"/>
      </rPr>
      <t xml:space="preserve">personu skaits </t>
    </r>
  </si>
  <si>
    <t>2025.gads</t>
  </si>
  <si>
    <r>
      <t xml:space="preserve">Rinda uz 01.01.2025. / Plānotais </t>
    </r>
    <r>
      <rPr>
        <u/>
        <sz val="9"/>
        <rFont val="Calibri"/>
        <family val="2"/>
        <charset val="186"/>
        <scheme val="minor"/>
      </rPr>
      <t xml:space="preserve">personu skaits </t>
    </r>
  </si>
  <si>
    <t>TPL pieprasījušo personu skaits KOPĀ 2024. gadā</t>
  </si>
  <si>
    <t>Ministru kabineta noteikumu projekta „Grozījumi Ministru kabineta 2009. gada 15.decembra noteikumos Nr. 1474 "Tehnisko palīglīdzekļu noteikumi"” sākotnējās ietekmes novērtējuma ziņojumam (anotācijai)</t>
  </si>
  <si>
    <t>Ministru kabineta noteikumu projekta „Grozījumi Ministru kabineta 2009. gada 15.decembra noteikumos Nr. 1474 "Tehnisko palīglīdzekļu noteikumi"” izpildes rādītāji 2022. gadā</t>
  </si>
  <si>
    <t>Ministru kabineta noteikumu projekta „Grozījumi Ministru kabineta 2009. gada 15.decembra noteikumos Nr. 1474 "Tehnisko palīglīdzekļu noteikumi"” izpildes rādītāji 2023. gadā</t>
  </si>
  <si>
    <t>Ministru kabineta noteikumu projekta „Grozījumi Ministru kabineta 2009. gada 15.decembra noteikumos Nr. 1474 "Tehnisko palīglīdzekļu noteikumi"” izpildes rādītāji 2024. gadā</t>
  </si>
  <si>
    <t>Ministru kabineta noteikumu projekta „Grozījumi Ministru kabineta 2009. gada 15.decembra noteikumos Nr. 1474 "Tehnisko palīglīdzekļu noteikumi"” izpildes rādītāju 2022. - 2024. gadā kopsavilkums</t>
  </si>
  <si>
    <t>TPL izdevumu plāns 2022. gadam</t>
  </si>
  <si>
    <t>TPL izdevumu plāns 2023. gadam</t>
  </si>
  <si>
    <t>TPL izdevumu plāns 2024. gadam</t>
  </si>
  <si>
    <t>Papildu nepieciešamais finansējums                                                                                                               2022. gadā</t>
  </si>
  <si>
    <t>Papildu nepieciešamais finansējums                                                                                                               2023. gadā</t>
  </si>
  <si>
    <t>Papildu nepieciešamais finansējums                                                                                                               2024. gadā</t>
  </si>
  <si>
    <r>
      <t xml:space="preserve">Plānotais </t>
    </r>
    <r>
      <rPr>
        <b/>
        <u/>
        <sz val="9"/>
        <rFont val="Calibri"/>
        <family val="2"/>
        <charset val="186"/>
        <scheme val="minor"/>
      </rPr>
      <t xml:space="preserve">personu skaits </t>
    </r>
    <r>
      <rPr>
        <sz val="9"/>
        <rFont val="Calibri"/>
        <family val="2"/>
        <charset val="186"/>
        <scheme val="minor"/>
      </rPr>
      <t>rindā pēc 3. kolonā norādītā TPL</t>
    </r>
  </si>
  <si>
    <r>
      <t xml:space="preserve">Plānotais </t>
    </r>
    <r>
      <rPr>
        <b/>
        <u/>
        <sz val="9"/>
        <rFont val="Calibri"/>
        <family val="2"/>
        <charset val="186"/>
        <scheme val="minor"/>
      </rPr>
      <t>personu skaits</t>
    </r>
    <r>
      <rPr>
        <sz val="9"/>
        <rFont val="Calibri"/>
        <family val="2"/>
        <charset val="186"/>
        <scheme val="minor"/>
      </rPr>
      <t>, kuras vidēji mēnesī stāsies rindā pēc 3. kolonā norādītā TPL</t>
    </r>
  </si>
  <si>
    <r>
      <t xml:space="preserve">Plānotais </t>
    </r>
    <r>
      <rPr>
        <b/>
        <u/>
        <sz val="9"/>
        <rFont val="Calibri"/>
        <family val="2"/>
        <charset val="186"/>
        <scheme val="minor"/>
      </rPr>
      <t>TPL skaits</t>
    </r>
    <r>
      <rPr>
        <sz val="9"/>
        <rFont val="Calibri"/>
        <family val="2"/>
        <charset val="186"/>
        <scheme val="minor"/>
      </rPr>
      <t>, lai apmierinātu 8. kolonā norādīto personu skaitu</t>
    </r>
  </si>
  <si>
    <r>
      <t xml:space="preserve">Plānotais </t>
    </r>
    <r>
      <rPr>
        <b/>
        <u/>
        <sz val="9"/>
        <rFont val="Calibri"/>
        <family val="2"/>
        <charset val="186"/>
        <scheme val="minor"/>
      </rPr>
      <t>TPL skaits</t>
    </r>
    <r>
      <rPr>
        <sz val="9"/>
        <rFont val="Calibri"/>
        <family val="2"/>
        <charset val="186"/>
        <scheme val="minor"/>
      </rPr>
      <t>, lai apmierinātu 16. kolonā norādīto personu skaitu</t>
    </r>
  </si>
  <si>
    <r>
      <t xml:space="preserve">Plānotais </t>
    </r>
    <r>
      <rPr>
        <b/>
        <u/>
        <sz val="9"/>
        <rFont val="Calibri"/>
        <family val="2"/>
        <charset val="186"/>
        <scheme val="minor"/>
      </rPr>
      <t>TPL skaits</t>
    </r>
    <r>
      <rPr>
        <sz val="9"/>
        <rFont val="Calibri"/>
        <family val="2"/>
        <charset val="186"/>
        <scheme val="minor"/>
      </rPr>
      <t>, lai apmierinātu 6. kolonā norādīto personu skaitu</t>
    </r>
  </si>
  <si>
    <t>plāns</t>
  </si>
  <si>
    <t>plāns ar izmaiņām</t>
  </si>
  <si>
    <t>euro</t>
  </si>
  <si>
    <t>%</t>
  </si>
  <si>
    <t>Kopā</t>
  </si>
  <si>
    <t>1.tehnisko palīglīdzekļu nodrošināšana</t>
  </si>
  <si>
    <t>2.administrācijas izmaksas</t>
  </si>
  <si>
    <t>1.1.TPL iegāde</t>
  </si>
  <si>
    <t>1.2.TPL pakalpojuma nodrošināšana</t>
  </si>
  <si>
    <r>
      <t xml:space="preserve">2024.gads </t>
    </r>
    <r>
      <rPr>
        <b/>
        <i/>
        <sz val="11"/>
        <color theme="1"/>
        <rFont val="Times New Roman"/>
        <family val="1"/>
        <charset val="186"/>
      </rPr>
      <t>(turpmāk ik gadu)</t>
    </r>
  </si>
  <si>
    <t>Papildu nepieciešamais finansējums  TPL iegādei      2022. gadā</t>
  </si>
  <si>
    <t>Papildu nepieciešamais finansējums  TPL iegādei          2023. gadā</t>
  </si>
  <si>
    <t>Papildu nepieciešamais finansējums  TPL iegādei           2024. gadā</t>
  </si>
  <si>
    <t>Administratīvās izmaksas</t>
  </si>
  <si>
    <t>Nr.</t>
  </si>
  <si>
    <t>Amats</t>
  </si>
  <si>
    <t>Slodzes</t>
  </si>
  <si>
    <t>Saskaņā ar MK noteikumiem Nr.1075</t>
  </si>
  <si>
    <t>amatu saimes</t>
  </si>
  <si>
    <t>līmenis</t>
  </si>
  <si>
    <t>mēnešalgu grupa</t>
  </si>
  <si>
    <t>IV</t>
  </si>
  <si>
    <t>Jurists</t>
  </si>
  <si>
    <t>III</t>
  </si>
  <si>
    <t>Pakalpojuma nodrošināšanas izmaksas</t>
  </si>
  <si>
    <t>5.1.</t>
  </si>
  <si>
    <t>Ergoterapeits (sertificēts)</t>
  </si>
  <si>
    <t>IIB</t>
  </si>
  <si>
    <t>Fizioterapeits (sertificēts)</t>
  </si>
  <si>
    <t>Tehniskais ortopēds (sertificēts)</t>
  </si>
  <si>
    <t>Noliktavas strādnieks</t>
  </si>
  <si>
    <t>Mehāniķis</t>
  </si>
  <si>
    <t>Mēnešalga</t>
  </si>
  <si>
    <t>Atalgojums gadā</t>
  </si>
  <si>
    <t>Atalgojums KOPĀ</t>
  </si>
  <si>
    <t>Atlīdzības KOPĀ, euro</t>
  </si>
  <si>
    <t>Iepirkuma speciālists</t>
  </si>
  <si>
    <t>Rehabilitācijas asistents</t>
  </si>
  <si>
    <t>mēnešalga</t>
  </si>
  <si>
    <t>IIIA</t>
  </si>
  <si>
    <t>Gatavie ortopēdiskie apavi palielināta pēdas apjoma ortožu nēsāšanai</t>
  </si>
  <si>
    <t xml:space="preserve">Ministru kabineta noteikumu projekta „Grozījumi Ministru kabineta 2009. gada 15.decembra noteikumos Nr. 1474 "Tehnisko palīglīdzekļu noteikumi"” ietekme uz valsts budžetu </t>
  </si>
  <si>
    <t>Detalizēti aprēķinus skat. 2.pielikuma aprēķina tabulās:</t>
  </si>
  <si>
    <t>Pieskaitāmās personāla izmaksas</t>
  </si>
  <si>
    <t>Administratīvo izmaksu pieskaitāmais pieaugums (kancelejas preces, komunikācijas nodrošināšanās izmaksas, telpu uzturēšana u.c. izmaksas)</t>
  </si>
  <si>
    <t>VSIA "Nacionālā rehabilitācijas centrs "Vaivari"" finansējums administratīvo un pakalpojuma nodrošināšanas izdevumu segšanai</t>
  </si>
  <si>
    <t>2.pielikums</t>
  </si>
  <si>
    <t>2.pielikuma 1.tabula</t>
  </si>
  <si>
    <t>2.pielikuma 2.tabula</t>
  </si>
  <si>
    <t>2.pielikuma 3.tabula</t>
  </si>
  <si>
    <t>2.pielikuma 4.tabula</t>
  </si>
  <si>
    <t>2.pielikuma 5.tabula</t>
  </si>
  <si>
    <t>izmaiņas *</t>
  </si>
  <si>
    <t>*Ministru kabineta 29.06.2021. noteikumi Nr. 428 "Grozījums Ministru kabineta 2009. gada 15. decembra noteikumos Nr. 1474 "Tehnisko palīglīdzekļu noteikumi""</t>
  </si>
  <si>
    <t>izmaiņas **</t>
  </si>
  <si>
    <t xml:space="preserve">*Ministru kabineta 29.06.2021. noteikumi Nr. 428 "Grozījums Ministru kabineta 2009. gada 15. decembra noteikumos Nr. 1474 "Tehnisko palīglīdzekļu noteikumi"" **Ministru kabineta noteikumu projekta „Grozījumi Ministru kabineta 2009. gada 15.decembra noteikumos Nr. 1474 "Tehnisko palīglīdzekļu noteikumi"” ietekme uz valsts budžetu </t>
  </si>
  <si>
    <t>Sandra Strēle</t>
  </si>
  <si>
    <t xml:space="preserve">LM Sociālo pakalpojumu departamenta </t>
  </si>
  <si>
    <t>vecākā eksperte</t>
  </si>
  <si>
    <t>Tālr. 64331831</t>
  </si>
  <si>
    <t>Sandra.Strele@lm.gov.lv</t>
  </si>
  <si>
    <t>Papildus finansējums "Iekārta ilgstošai skābekļa terapijai ārpus ārstniecības iestādes (skābekļa koncentrators) ar plūsmu līdz 5l/min"*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</si>
</sst>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color rgb="FF414142"/>
      <name val="Calibri"/>
      <family val="2"/>
      <charset val="186"/>
      <scheme val="minor"/>
    </font>
    <font>
      <vertAlign val="superscript"/>
      <sz val="10"/>
      <color rgb="FF414142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.5"/>
      <color theme="1"/>
      <name val="Calibri"/>
      <family val="2"/>
      <charset val="186"/>
      <scheme val="minor"/>
    </font>
    <font>
      <sz val="8.5"/>
      <color rgb="FF41414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rgb="FF414142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u/>
      <sz val="9"/>
      <name val="Calibri"/>
      <family val="2"/>
      <charset val="186"/>
      <scheme val="minor"/>
    </font>
    <font>
      <b/>
      <u/>
      <sz val="9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b/>
      <i/>
      <sz val="8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.5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9.5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0"/>
      <name val="Arial"/>
      <family val="2"/>
      <charset val="186"/>
    </font>
    <font>
      <u/>
      <sz val="11"/>
      <name val="Calibri"/>
      <family val="2"/>
      <scheme val="minor"/>
    </font>
    <font>
      <i/>
      <u/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72">
    <xf numFmtId="0" fontId="0" fillId="0" borderId="0" xfId="0"/>
    <xf numFmtId="4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3" fontId="10" fillId="6" borderId="1" xfId="0" applyNumberFormat="1" applyFont="1" applyFill="1" applyBorder="1" applyAlignment="1" applyProtection="1">
      <alignment horizontal="center" vertical="center"/>
      <protection hidden="1"/>
    </xf>
    <xf numFmtId="4" fontId="10" fillId="6" borderId="1" xfId="0" applyNumberFormat="1" applyFont="1" applyFill="1" applyBorder="1" applyAlignment="1" applyProtection="1">
      <alignment horizontal="center" vertical="center"/>
      <protection hidden="1"/>
    </xf>
    <xf numFmtId="4" fontId="10" fillId="6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4" fontId="10" fillId="0" borderId="1" xfId="0" applyNumberFormat="1" applyFont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4" fontId="10" fillId="5" borderId="1" xfId="0" applyNumberFormat="1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4" fontId="9" fillId="0" borderId="1" xfId="0" applyNumberFormat="1" applyFont="1" applyFill="1" applyBorder="1" applyAlignment="1" applyProtection="1">
      <alignment horizontal="right" vertical="center"/>
      <protection hidden="1"/>
    </xf>
    <xf numFmtId="4" fontId="10" fillId="5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right" vertical="center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3" fontId="10" fillId="0" borderId="1" xfId="0" applyNumberFormat="1" applyFont="1" applyFill="1" applyBorder="1" applyAlignment="1" applyProtection="1">
      <alignment horizontal="center" vertical="center"/>
      <protection hidden="1"/>
    </xf>
    <xf numFmtId="4" fontId="10" fillId="0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3" fontId="23" fillId="0" borderId="1" xfId="0" applyNumberFormat="1" applyFont="1" applyFill="1" applyBorder="1" applyAlignment="1" applyProtection="1">
      <alignment horizontal="center" vertical="center"/>
      <protection hidden="1"/>
    </xf>
    <xf numFmtId="4" fontId="23" fillId="0" borderId="1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3" fontId="10" fillId="7" borderId="1" xfId="0" applyNumberFormat="1" applyFont="1" applyFill="1" applyBorder="1" applyAlignment="1" applyProtection="1">
      <alignment horizontal="center" vertical="center"/>
      <protection hidden="1"/>
    </xf>
    <xf numFmtId="4" fontId="10" fillId="7" borderId="1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Protection="1">
      <protection hidden="1"/>
    </xf>
    <xf numFmtId="0" fontId="1" fillId="0" borderId="0" xfId="0" applyFont="1" applyFill="1" applyProtection="1">
      <protection hidden="1"/>
    </xf>
    <xf numFmtId="3" fontId="10" fillId="7" borderId="1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wrapText="1"/>
      <protection hidden="1"/>
    </xf>
    <xf numFmtId="3" fontId="21" fillId="7" borderId="1" xfId="0" applyNumberFormat="1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3" fontId="21" fillId="0" borderId="0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4" fontId="9" fillId="3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Font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Protection="1">
      <protection hidden="1"/>
    </xf>
    <xf numFmtId="3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4" fontId="10" fillId="5" borderId="1" xfId="0" applyNumberFormat="1" applyFont="1" applyFill="1" applyBorder="1" applyAlignment="1" applyProtection="1">
      <alignment horizontal="center" vertical="center"/>
      <protection locked="0"/>
    </xf>
    <xf numFmtId="3" fontId="25" fillId="0" borderId="0" xfId="0" applyNumberFormat="1" applyFont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4" fontId="9" fillId="3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Border="1" applyAlignment="1" applyProtection="1">
      <alignment horizontal="right" vertical="center"/>
      <protection hidden="1"/>
    </xf>
    <xf numFmtId="0" fontId="25" fillId="0" borderId="6" xfId="0" applyFont="1" applyBorder="1" applyAlignment="1" applyProtection="1">
      <alignment horizontal="center" vertical="center"/>
      <protection hidden="1"/>
    </xf>
    <xf numFmtId="0" fontId="25" fillId="0" borderId="6" xfId="0" applyFont="1" applyBorder="1" applyAlignment="1" applyProtection="1">
      <alignment horizontal="center" vertical="center" wrapText="1"/>
      <protection hidden="1"/>
    </xf>
    <xf numFmtId="0" fontId="25" fillId="0" borderId="6" xfId="0" applyFont="1" applyFill="1" applyBorder="1" applyAlignment="1" applyProtection="1">
      <alignment horizontal="left" vertical="center" wrapText="1"/>
      <protection hidden="1"/>
    </xf>
    <xf numFmtId="0" fontId="26" fillId="0" borderId="6" xfId="0" applyFont="1" applyFill="1" applyBorder="1" applyAlignment="1" applyProtection="1">
      <alignment horizontal="center" vertical="center" wrapText="1"/>
      <protection hidden="1"/>
    </xf>
    <xf numFmtId="4" fontId="9" fillId="3" borderId="6" xfId="0" applyNumberFormat="1" applyFont="1" applyFill="1" applyBorder="1" applyAlignment="1" applyProtection="1">
      <alignment horizontal="right" vertical="center"/>
      <protection locked="0"/>
    </xf>
    <xf numFmtId="4" fontId="10" fillId="0" borderId="6" xfId="0" applyNumberFormat="1" applyFont="1" applyBorder="1" applyAlignment="1" applyProtection="1">
      <alignment horizontal="right" vertical="center"/>
      <protection hidden="1"/>
    </xf>
    <xf numFmtId="0" fontId="25" fillId="0" borderId="7" xfId="0" applyFont="1" applyBorder="1" applyAlignment="1" applyProtection="1">
      <alignment horizontal="center" vertical="center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8" xfId="0" applyFont="1" applyFill="1" applyBorder="1" applyAlignment="1" applyProtection="1">
      <alignment horizontal="left" vertical="center" wrapText="1"/>
      <protection hidden="1"/>
    </xf>
    <xf numFmtId="0" fontId="26" fillId="0" borderId="8" xfId="0" applyFont="1" applyFill="1" applyBorder="1" applyAlignment="1" applyProtection="1">
      <alignment horizontal="center" vertical="center" wrapText="1"/>
      <protection hidden="1"/>
    </xf>
    <xf numFmtId="4" fontId="9" fillId="3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8" xfId="0" applyNumberFormat="1" applyFont="1" applyBorder="1" applyAlignment="1" applyProtection="1">
      <alignment horizontal="right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3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wrapText="1"/>
      <protection hidden="1"/>
    </xf>
    <xf numFmtId="3" fontId="28" fillId="7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3" fontId="28" fillId="0" borderId="0" xfId="0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" fontId="4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3" fontId="9" fillId="2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horizontal="center" vertical="center"/>
      <protection hidden="1"/>
    </xf>
    <xf numFmtId="3" fontId="9" fillId="0" borderId="5" xfId="0" applyNumberFormat="1" applyFont="1" applyBorder="1" applyAlignment="1" applyProtection="1">
      <alignment horizontal="center" vertical="center"/>
      <protection hidden="1"/>
    </xf>
    <xf numFmtId="3" fontId="9" fillId="2" borderId="8" xfId="0" applyNumberFormat="1" applyFont="1" applyFill="1" applyBorder="1" applyAlignment="1" applyProtection="1">
      <alignment horizontal="center" vertical="center"/>
      <protection locked="0"/>
    </xf>
    <xf numFmtId="3" fontId="9" fillId="4" borderId="8" xfId="0" applyNumberFormat="1" applyFont="1" applyFill="1" applyBorder="1" applyAlignment="1" applyProtection="1">
      <alignment horizontal="center" vertical="center"/>
      <protection locked="0"/>
    </xf>
    <xf numFmtId="3" fontId="9" fillId="0" borderId="8" xfId="0" applyNumberFormat="1" applyFont="1" applyFill="1" applyBorder="1" applyAlignment="1" applyProtection="1">
      <alignment horizontal="center" vertical="center"/>
      <protection hidden="1"/>
    </xf>
    <xf numFmtId="3" fontId="9" fillId="0" borderId="8" xfId="0" applyNumberFormat="1" applyFont="1" applyBorder="1" applyAlignment="1" applyProtection="1">
      <alignment horizontal="center" vertical="center"/>
      <protection hidden="1"/>
    </xf>
    <xf numFmtId="3" fontId="9" fillId="2" borderId="6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horizontal="center" vertical="center"/>
      <protection hidden="1"/>
    </xf>
    <xf numFmtId="3" fontId="9" fillId="0" borderId="6" xfId="0" applyNumberFormat="1" applyFont="1" applyBorder="1" applyAlignment="1" applyProtection="1">
      <alignment horizontal="center" vertical="center"/>
      <protection hidden="1"/>
    </xf>
    <xf numFmtId="3" fontId="10" fillId="5" borderId="1" xfId="0" applyNumberFormat="1" applyFont="1" applyFill="1" applyBorder="1" applyAlignment="1" applyProtection="1">
      <alignment horizontal="center" vertical="center"/>
      <protection hidden="1"/>
    </xf>
    <xf numFmtId="16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/>
    <xf numFmtId="0" fontId="32" fillId="0" borderId="5" xfId="0" applyFont="1" applyBorder="1" applyAlignment="1">
      <alignment horizontal="right"/>
    </xf>
    <xf numFmtId="0" fontId="33" fillId="0" borderId="5" xfId="0" applyFont="1" applyBorder="1" applyAlignment="1">
      <alignment horizontal="center"/>
    </xf>
    <xf numFmtId="0" fontId="30" fillId="0" borderId="0" xfId="0" applyFont="1"/>
    <xf numFmtId="3" fontId="34" fillId="0" borderId="1" xfId="1" applyNumberFormat="1" applyFont="1" applyFill="1" applyBorder="1" applyAlignment="1" applyProtection="1">
      <alignment horizontal="right" vertical="center"/>
      <protection hidden="1"/>
    </xf>
    <xf numFmtId="1" fontId="33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left" vertical="center" wrapText="1"/>
      <protection hidden="1"/>
    </xf>
    <xf numFmtId="3" fontId="36" fillId="0" borderId="1" xfId="1" applyNumberFormat="1" applyFont="1" applyFill="1" applyBorder="1" applyAlignment="1" applyProtection="1">
      <alignment horizontal="right" vertical="center"/>
      <protection hidden="1"/>
    </xf>
    <xf numFmtId="165" fontId="33" fillId="0" borderId="1" xfId="0" applyNumberFormat="1" applyFont="1" applyFill="1" applyBorder="1" applyAlignment="1">
      <alignment horizontal="center" vertical="center"/>
    </xf>
    <xf numFmtId="0" fontId="39" fillId="0" borderId="5" xfId="0" applyFont="1" applyBorder="1" applyAlignment="1">
      <alignment horizontal="right"/>
    </xf>
    <xf numFmtId="0" fontId="40" fillId="0" borderId="5" xfId="0" applyFont="1" applyBorder="1" applyAlignment="1">
      <alignment horizontal="center"/>
    </xf>
    <xf numFmtId="1" fontId="40" fillId="0" borderId="1" xfId="0" applyNumberFormat="1" applyFont="1" applyFill="1" applyBorder="1" applyAlignment="1">
      <alignment horizontal="center" vertical="center"/>
    </xf>
    <xf numFmtId="165" fontId="40" fillId="0" borderId="1" xfId="0" applyNumberFormat="1" applyFont="1" applyFill="1" applyBorder="1" applyAlignment="1">
      <alignment horizontal="center" vertical="center"/>
    </xf>
    <xf numFmtId="0" fontId="41" fillId="0" borderId="0" xfId="0" applyFont="1"/>
    <xf numFmtId="1" fontId="40" fillId="0" borderId="2" xfId="0" applyNumberFormat="1" applyFont="1" applyFill="1" applyBorder="1" applyAlignment="1">
      <alignment horizontal="center" vertical="center"/>
    </xf>
    <xf numFmtId="3" fontId="34" fillId="3" borderId="1" xfId="1" applyNumberFormat="1" applyFont="1" applyFill="1" applyBorder="1" applyAlignment="1" applyProtection="1">
      <alignment horizontal="right" vertical="center"/>
      <protection hidden="1"/>
    </xf>
    <xf numFmtId="0" fontId="36" fillId="8" borderId="1" xfId="2" applyFont="1" applyFill="1" applyBorder="1" applyAlignment="1">
      <alignment horizontal="center" vertical="center" wrapText="1"/>
    </xf>
    <xf numFmtId="0" fontId="44" fillId="0" borderId="0" xfId="2" applyFont="1" applyBorder="1" applyAlignment="1">
      <alignment horizontal="center" vertical="center" wrapText="1"/>
    </xf>
    <xf numFmtId="0" fontId="47" fillId="0" borderId="1" xfId="2" applyFont="1" applyBorder="1" applyAlignment="1">
      <alignment horizontal="center" vertical="center" wrapText="1"/>
    </xf>
    <xf numFmtId="0" fontId="47" fillId="8" borderId="1" xfId="2" applyFont="1" applyFill="1" applyBorder="1" applyAlignment="1">
      <alignment horizontal="center" vertical="center" wrapText="1"/>
    </xf>
    <xf numFmtId="0" fontId="36" fillId="8" borderId="1" xfId="2" applyFont="1" applyFill="1" applyBorder="1" applyAlignment="1" applyProtection="1">
      <alignment vertical="center" wrapText="1"/>
    </xf>
    <xf numFmtId="0" fontId="36" fillId="8" borderId="1" xfId="2" applyFont="1" applyFill="1" applyBorder="1" applyAlignment="1" applyProtection="1">
      <alignment horizontal="left" vertical="center" wrapText="1"/>
    </xf>
    <xf numFmtId="0" fontId="36" fillId="0" borderId="0" xfId="2" applyFont="1" applyAlignment="1">
      <alignment wrapText="1"/>
    </xf>
    <xf numFmtId="0" fontId="47" fillId="0" borderId="0" xfId="2" applyFont="1" applyAlignment="1">
      <alignment wrapText="1"/>
    </xf>
    <xf numFmtId="2" fontId="36" fillId="8" borderId="1" xfId="2" applyNumberFormat="1" applyFont="1" applyFill="1" applyBorder="1" applyAlignment="1" applyProtection="1">
      <alignment horizontal="center" vertical="center" wrapText="1"/>
    </xf>
    <xf numFmtId="165" fontId="36" fillId="8" borderId="1" xfId="2" applyNumberFormat="1" applyFont="1" applyFill="1" applyBorder="1" applyAlignment="1" applyProtection="1">
      <alignment horizontal="center" vertical="center" wrapText="1"/>
    </xf>
    <xf numFmtId="1" fontId="36" fillId="8" borderId="1" xfId="2" applyNumberFormat="1" applyFont="1" applyFill="1" applyBorder="1" applyAlignment="1" applyProtection="1">
      <alignment horizontal="center" vertical="center" wrapText="1"/>
    </xf>
    <xf numFmtId="4" fontId="36" fillId="8" borderId="1" xfId="2" applyNumberFormat="1" applyFont="1" applyFill="1" applyBorder="1" applyAlignment="1" applyProtection="1">
      <alignment horizontal="center" vertical="center" wrapText="1"/>
    </xf>
    <xf numFmtId="4" fontId="36" fillId="8" borderId="1" xfId="2" applyNumberFormat="1" applyFont="1" applyFill="1" applyBorder="1" applyAlignment="1" applyProtection="1">
      <alignment vertical="center" wrapText="1"/>
    </xf>
    <xf numFmtId="0" fontId="37" fillId="0" borderId="0" xfId="2" applyFont="1" applyAlignment="1">
      <alignment wrapText="1"/>
    </xf>
    <xf numFmtId="0" fontId="36" fillId="8" borderId="1" xfId="3" applyFont="1" applyFill="1" applyBorder="1" applyAlignment="1">
      <alignment horizontal="center" wrapText="1"/>
    </xf>
    <xf numFmtId="2" fontId="34" fillId="0" borderId="1" xfId="2" applyNumberFormat="1" applyFont="1" applyBorder="1" applyAlignment="1">
      <alignment horizontal="center" vertical="center" wrapText="1"/>
    </xf>
    <xf numFmtId="4" fontId="34" fillId="0" borderId="1" xfId="2" applyNumberFormat="1" applyFont="1" applyBorder="1" applyAlignment="1">
      <alignment horizontal="center" vertical="center" wrapText="1"/>
    </xf>
    <xf numFmtId="4" fontId="34" fillId="0" borderId="1" xfId="2" applyNumberFormat="1" applyFont="1" applyBorder="1" applyAlignment="1">
      <alignment horizontal="right" vertical="center" wrapText="1"/>
    </xf>
    <xf numFmtId="0" fontId="48" fillId="8" borderId="1" xfId="2" applyFont="1" applyFill="1" applyBorder="1" applyAlignment="1">
      <alignment horizontal="center" vertical="center" wrapText="1"/>
    </xf>
    <xf numFmtId="4" fontId="48" fillId="8" borderId="1" xfId="2" applyNumberFormat="1" applyFont="1" applyFill="1" applyBorder="1" applyAlignment="1" applyProtection="1">
      <alignment vertical="center" wrapText="1"/>
    </xf>
    <xf numFmtId="0" fontId="48" fillId="0" borderId="0" xfId="2" applyFont="1" applyAlignment="1">
      <alignment wrapText="1"/>
    </xf>
    <xf numFmtId="0" fontId="45" fillId="0" borderId="0" xfId="0" applyFont="1"/>
    <xf numFmtId="0" fontId="25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 applyProtection="1">
      <alignment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>
      <alignment horizontal="center"/>
    </xf>
    <xf numFmtId="165" fontId="40" fillId="0" borderId="2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right"/>
    </xf>
    <xf numFmtId="3" fontId="34" fillId="0" borderId="3" xfId="1" applyNumberFormat="1" applyFont="1" applyFill="1" applyBorder="1" applyAlignment="1" applyProtection="1">
      <alignment horizontal="right" vertical="center"/>
      <protection hidden="1"/>
    </xf>
    <xf numFmtId="3" fontId="36" fillId="0" borderId="3" xfId="1" applyNumberFormat="1" applyFont="1" applyFill="1" applyBorder="1" applyAlignment="1" applyProtection="1">
      <alignment horizontal="right" vertical="center"/>
      <protection hidden="1"/>
    </xf>
    <xf numFmtId="0" fontId="40" fillId="0" borderId="19" xfId="0" applyFont="1" applyBorder="1" applyAlignment="1">
      <alignment horizontal="center"/>
    </xf>
    <xf numFmtId="1" fontId="40" fillId="0" borderId="20" xfId="0" applyNumberFormat="1" applyFont="1" applyFill="1" applyBorder="1" applyAlignment="1">
      <alignment horizontal="center" vertical="center"/>
    </xf>
    <xf numFmtId="3" fontId="36" fillId="0" borderId="21" xfId="1" applyNumberFormat="1" applyFont="1" applyFill="1" applyBorder="1" applyAlignment="1" applyProtection="1">
      <alignment horizontal="right" vertical="center"/>
      <protection hidden="1"/>
    </xf>
    <xf numFmtId="3" fontId="36" fillId="0" borderId="22" xfId="1" applyNumberFormat="1" applyFont="1" applyFill="1" applyBorder="1" applyAlignment="1" applyProtection="1">
      <alignment horizontal="right" vertical="center"/>
      <protection hidden="1"/>
    </xf>
    <xf numFmtId="165" fontId="40" fillId="0" borderId="24" xfId="0" applyNumberFormat="1" applyFont="1" applyFill="1" applyBorder="1" applyAlignment="1">
      <alignment horizontal="center" vertical="center"/>
    </xf>
    <xf numFmtId="0" fontId="45" fillId="0" borderId="26" xfId="0" applyFont="1" applyBorder="1"/>
    <xf numFmtId="3" fontId="36" fillId="0" borderId="27" xfId="1" applyNumberFormat="1" applyFont="1" applyFill="1" applyBorder="1" applyAlignment="1" applyProtection="1">
      <alignment horizontal="right" vertical="center"/>
      <protection hidden="1"/>
    </xf>
    <xf numFmtId="165" fontId="40" fillId="0" borderId="28" xfId="0" applyNumberFormat="1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right" vertical="top" wrapText="1"/>
    </xf>
    <xf numFmtId="0" fontId="51" fillId="0" borderId="0" xfId="0" applyFont="1"/>
    <xf numFmtId="49" fontId="39" fillId="0" borderId="0" xfId="0" applyNumberFormat="1" applyFont="1" applyAlignment="1">
      <alignment horizontal="right" vertical="top" wrapText="1"/>
    </xf>
    <xf numFmtId="0" fontId="39" fillId="0" borderId="18" xfId="0" applyFont="1" applyBorder="1" applyAlignment="1">
      <alignment horizontal="right"/>
    </xf>
    <xf numFmtId="0" fontId="45" fillId="0" borderId="25" xfId="0" applyFont="1" applyBorder="1"/>
    <xf numFmtId="3" fontId="43" fillId="3" borderId="14" xfId="1" applyNumberFormat="1" applyFont="1" applyFill="1" applyBorder="1" applyAlignment="1" applyProtection="1">
      <alignment horizontal="right" vertical="center"/>
      <protection hidden="1"/>
    </xf>
    <xf numFmtId="0" fontId="5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54" fillId="0" borderId="0" xfId="5" applyFont="1" applyAlignment="1">
      <alignment vertical="center"/>
    </xf>
    <xf numFmtId="0" fontId="55" fillId="0" borderId="0" xfId="0" applyFont="1"/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6" fillId="0" borderId="5" xfId="0" applyFont="1" applyFill="1" applyBorder="1" applyAlignment="1" applyProtection="1">
      <alignment horizontal="left" vertical="center" wrapText="1"/>
      <protection hidden="1"/>
    </xf>
    <xf numFmtId="0" fontId="36" fillId="0" borderId="6" xfId="0" applyFont="1" applyFill="1" applyBorder="1" applyAlignment="1" applyProtection="1">
      <alignment horizontal="left" vertical="center" wrapText="1"/>
      <protection hidden="1"/>
    </xf>
    <xf numFmtId="0" fontId="36" fillId="0" borderId="2" xfId="0" applyFont="1" applyFill="1" applyBorder="1" applyAlignment="1" applyProtection="1">
      <alignment horizontal="left" vertical="center" wrapText="1"/>
      <protection hidden="1"/>
    </xf>
    <xf numFmtId="0" fontId="36" fillId="0" borderId="3" xfId="0" applyFont="1" applyFill="1" applyBorder="1" applyAlignment="1" applyProtection="1">
      <alignment horizontal="left" vertical="center" wrapText="1"/>
      <protection hidden="1"/>
    </xf>
    <xf numFmtId="165" fontId="33" fillId="0" borderId="5" xfId="0" applyNumberFormat="1" applyFont="1" applyFill="1" applyBorder="1" applyAlignment="1">
      <alignment horizontal="center" vertical="center"/>
    </xf>
    <xf numFmtId="165" fontId="33" fillId="0" borderId="6" xfId="0" applyNumberFormat="1" applyFont="1" applyFill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  <xf numFmtId="165" fontId="40" fillId="0" borderId="1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 applyProtection="1">
      <alignment horizontal="right" vertical="center" wrapText="1"/>
      <protection hidden="1"/>
    </xf>
    <xf numFmtId="0" fontId="34" fillId="0" borderId="3" xfId="0" applyFont="1" applyFill="1" applyBorder="1" applyAlignment="1" applyProtection="1">
      <alignment horizontal="right" vertical="center" wrapText="1"/>
      <protection hidden="1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165" fontId="40" fillId="0" borderId="19" xfId="0" applyNumberFormat="1" applyFont="1" applyFill="1" applyBorder="1" applyAlignment="1">
      <alignment horizontal="center" vertical="center"/>
    </xf>
    <xf numFmtId="165" fontId="40" fillId="0" borderId="23" xfId="0" applyNumberFormat="1" applyFont="1" applyFill="1" applyBorder="1" applyAlignment="1">
      <alignment horizontal="center" vertical="center"/>
    </xf>
    <xf numFmtId="165" fontId="40" fillId="0" borderId="5" xfId="0" applyNumberFormat="1" applyFont="1" applyFill="1" applyBorder="1" applyAlignment="1">
      <alignment horizontal="center" vertical="center"/>
    </xf>
    <xf numFmtId="165" fontId="40" fillId="0" borderId="6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9" fillId="0" borderId="0" xfId="0" applyFont="1" applyAlignment="1">
      <alignment horizontal="left" vertical="top" wrapText="1"/>
    </xf>
    <xf numFmtId="0" fontId="38" fillId="0" borderId="22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41" fillId="0" borderId="15" xfId="0" applyFont="1" applyBorder="1" applyAlignment="1">
      <alignment horizontal="left"/>
    </xf>
    <xf numFmtId="0" fontId="52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right" vertical="center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22" fillId="0" borderId="1" xfId="0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right" vertical="center" wrapText="1"/>
      <protection hidden="1"/>
    </xf>
    <xf numFmtId="0" fontId="20" fillId="7" borderId="4" xfId="0" applyFont="1" applyFill="1" applyBorder="1" applyAlignment="1" applyProtection="1">
      <alignment horizontal="right" vertical="center" wrapText="1"/>
      <protection hidden="1"/>
    </xf>
    <xf numFmtId="0" fontId="20" fillId="7" borderId="3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3" fontId="10" fillId="7" borderId="2" xfId="0" applyNumberFormat="1" applyFont="1" applyFill="1" applyBorder="1" applyAlignment="1" applyProtection="1">
      <alignment horizontal="right" vertical="center"/>
      <protection hidden="1"/>
    </xf>
    <xf numFmtId="3" fontId="10" fillId="7" borderId="4" xfId="0" applyNumberFormat="1" applyFont="1" applyFill="1" applyBorder="1" applyAlignment="1" applyProtection="1">
      <alignment horizontal="right" vertical="center"/>
      <protection hidden="1"/>
    </xf>
    <xf numFmtId="3" fontId="10" fillId="7" borderId="3" xfId="0" applyNumberFormat="1" applyFont="1" applyFill="1" applyBorder="1" applyAlignment="1" applyProtection="1">
      <alignment horizontal="right" vertical="center"/>
      <protection hidden="1"/>
    </xf>
    <xf numFmtId="0" fontId="5" fillId="7" borderId="2" xfId="0" applyFont="1" applyFill="1" applyBorder="1" applyAlignment="1" applyProtection="1">
      <alignment horizontal="right" vertical="center"/>
      <protection hidden="1"/>
    </xf>
    <xf numFmtId="0" fontId="5" fillId="7" borderId="4" xfId="0" applyFont="1" applyFill="1" applyBorder="1" applyAlignment="1" applyProtection="1">
      <alignment horizontal="right" vertical="center"/>
      <protection hidden="1"/>
    </xf>
    <xf numFmtId="0" fontId="5" fillId="7" borderId="3" xfId="0" applyFont="1" applyFill="1" applyBorder="1" applyAlignment="1" applyProtection="1">
      <alignment horizontal="right" vertical="center"/>
      <protection hidden="1"/>
    </xf>
    <xf numFmtId="0" fontId="10" fillId="7" borderId="2" xfId="0" applyFont="1" applyFill="1" applyBorder="1" applyAlignment="1" applyProtection="1">
      <alignment horizontal="right" vertical="center" wrapText="1"/>
      <protection hidden="1"/>
    </xf>
    <xf numFmtId="0" fontId="10" fillId="7" borderId="4" xfId="0" applyFont="1" applyFill="1" applyBorder="1" applyAlignment="1" applyProtection="1">
      <alignment horizontal="right" vertical="center" wrapText="1"/>
      <protection hidden="1"/>
    </xf>
    <xf numFmtId="0" fontId="10" fillId="7" borderId="3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right" vertical="center"/>
      <protection hidden="1"/>
    </xf>
    <xf numFmtId="4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" xfId="2" applyFont="1" applyBorder="1" applyAlignment="1">
      <alignment horizontal="center" vertical="center" wrapText="1"/>
    </xf>
    <xf numFmtId="0" fontId="46" fillId="0" borderId="5" xfId="2" applyFont="1" applyBorder="1" applyAlignment="1">
      <alignment horizontal="center" vertical="center" wrapText="1"/>
    </xf>
    <xf numFmtId="0" fontId="46" fillId="0" borderId="6" xfId="2" applyFont="1" applyBorder="1" applyAlignment="1">
      <alignment horizontal="center" vertical="center" wrapText="1"/>
    </xf>
    <xf numFmtId="0" fontId="56" fillId="0" borderId="0" xfId="2" applyFont="1" applyAlignment="1">
      <alignment horizontal="center" vertical="center" wrapText="1"/>
    </xf>
    <xf numFmtId="0" fontId="56" fillId="0" borderId="15" xfId="2" applyFont="1" applyFill="1" applyBorder="1" applyAlignment="1" applyProtection="1">
      <alignment horizontal="left" wrapText="1"/>
    </xf>
    <xf numFmtId="0" fontId="46" fillId="8" borderId="1" xfId="2" applyFont="1" applyFill="1" applyBorder="1" applyAlignment="1">
      <alignment horizontal="center" vertical="center" wrapText="1"/>
    </xf>
    <xf numFmtId="49" fontId="36" fillId="0" borderId="0" xfId="2" applyNumberFormat="1" applyFont="1" applyAlignment="1">
      <alignment horizontal="right" wrapText="1"/>
    </xf>
    <xf numFmtId="49" fontId="36" fillId="0" borderId="0" xfId="2" applyNumberFormat="1" applyFont="1" applyAlignment="1">
      <alignment horizontal="right" vertical="center" wrapText="1"/>
    </xf>
    <xf numFmtId="0" fontId="34" fillId="0" borderId="1" xfId="2" applyFont="1" applyBorder="1" applyAlignment="1">
      <alignment horizontal="right" vertical="center" wrapText="1"/>
    </xf>
    <xf numFmtId="0" fontId="49" fillId="8" borderId="2" xfId="2" applyFont="1" applyFill="1" applyBorder="1" applyAlignment="1" applyProtection="1">
      <alignment horizontal="left" vertical="center" wrapText="1"/>
    </xf>
    <xf numFmtId="0" fontId="49" fillId="8" borderId="4" xfId="2" applyFont="1" applyFill="1" applyBorder="1" applyAlignment="1" applyProtection="1">
      <alignment horizontal="left" vertical="center" wrapText="1"/>
    </xf>
    <xf numFmtId="0" fontId="49" fillId="8" borderId="3" xfId="2" applyFont="1" applyFill="1" applyBorder="1" applyAlignment="1" applyProtection="1">
      <alignment horizontal="left" vertical="center" wrapText="1"/>
    </xf>
  </cellXfs>
  <cellStyles count="6">
    <cellStyle name="Hyperlink" xfId="5" builtinId="8"/>
    <cellStyle name="Normal" xfId="0" builtinId="0"/>
    <cellStyle name="Normal 2 2" xfId="1" xr:uid="{492F1E94-39FA-4E23-945B-F27E5A95E151}"/>
    <cellStyle name="Normal 3" xfId="2" xr:uid="{D536A1B1-43AD-4CC0-90C6-31741A7A708C}"/>
    <cellStyle name="Normal 3 2" xfId="3" xr:uid="{889F6563-A0C6-435D-A501-20BAFB932C5A}"/>
    <cellStyle name="Percent 2" xfId="4" xr:uid="{809EB01E-893E-4D3A-8620-C7446638A1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Strele@lm.gov.l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ndra.Strele@lm.gov.l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andra.Strele@lm.gov.lv" TargetMode="External"/><Relationship Id="rId1" Type="http://schemas.openxmlformats.org/officeDocument/2006/relationships/hyperlink" Target="http://www.eastin.eu/lv-lv/searches/Products/List?iso=1803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andra.Strele@lm.gov.lv" TargetMode="External"/><Relationship Id="rId1" Type="http://schemas.openxmlformats.org/officeDocument/2006/relationships/hyperlink" Target="http://www.eastin.eu/lv-lv/searches/Products/List?iso=18031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Sandra.Strele@lm.gov.lv" TargetMode="External"/><Relationship Id="rId1" Type="http://schemas.openxmlformats.org/officeDocument/2006/relationships/hyperlink" Target="http://www.eastin.eu/lv-lv/searches/Products/List?iso=18031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andra.Strele@l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019F4-4932-4928-A929-C26ED16B6FA3}">
  <dimension ref="A1:K39"/>
  <sheetViews>
    <sheetView tabSelected="1" zoomScale="80" zoomScaleNormal="80" workbookViewId="0">
      <selection activeCell="M16" sqref="M16"/>
    </sheetView>
  </sheetViews>
  <sheetFormatPr defaultColWidth="8.90625" defaultRowHeight="14" x14ac:dyDescent="0.3"/>
  <cols>
    <col min="1" max="1" width="12.36328125" style="136" customWidth="1"/>
    <col min="2" max="2" width="20" style="136" customWidth="1"/>
    <col min="3" max="3" width="28.54296875" style="136" customWidth="1"/>
    <col min="4" max="4" width="10.36328125" style="136" customWidth="1"/>
    <col min="5" max="5" width="6.1796875" style="136" customWidth="1"/>
    <col min="6" max="6" width="10.453125" style="136" customWidth="1"/>
    <col min="7" max="7" width="6" style="136" customWidth="1"/>
    <col min="8" max="8" width="11.453125" style="136" customWidth="1"/>
    <col min="9" max="9" width="6" style="170" customWidth="1"/>
    <col min="10" max="10" width="10.36328125" style="136" customWidth="1"/>
    <col min="11" max="11" width="5.08984375" style="136" customWidth="1"/>
    <col min="12" max="16384" width="8.90625" style="136"/>
  </cols>
  <sheetData>
    <row r="1" spans="1:11" ht="14.4" customHeight="1" x14ac:dyDescent="0.3">
      <c r="A1" s="227" t="s">
        <v>525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4.4" customHeight="1" x14ac:dyDescent="0.3">
      <c r="A2" s="227" t="s">
        <v>463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33" customHeight="1" x14ac:dyDescent="0.3">
      <c r="A3" s="228" t="s">
        <v>520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5" customHeight="1" thickBot="1" x14ac:dyDescent="0.35">
      <c r="B4" s="146" t="s">
        <v>452</v>
      </c>
    </row>
    <row r="5" spans="1:11" s="133" customFormat="1" ht="15" customHeight="1" x14ac:dyDescent="0.3">
      <c r="B5" s="198" t="s">
        <v>426</v>
      </c>
      <c r="C5" s="199"/>
      <c r="D5" s="202" t="s">
        <v>479</v>
      </c>
      <c r="E5" s="202"/>
      <c r="F5" s="219" t="s">
        <v>531</v>
      </c>
      <c r="G5" s="220"/>
      <c r="H5" s="213" t="s">
        <v>533</v>
      </c>
      <c r="I5" s="214"/>
      <c r="J5" s="221" t="s">
        <v>480</v>
      </c>
      <c r="K5" s="202"/>
    </row>
    <row r="6" spans="1:11" ht="15" customHeight="1" thickBot="1" x14ac:dyDescent="0.35">
      <c r="B6" s="200"/>
      <c r="C6" s="201"/>
      <c r="D6" s="134" t="s">
        <v>481</v>
      </c>
      <c r="E6" s="135" t="s">
        <v>482</v>
      </c>
      <c r="F6" s="142" t="s">
        <v>481</v>
      </c>
      <c r="G6" s="174" t="s">
        <v>482</v>
      </c>
      <c r="H6" s="191" t="s">
        <v>481</v>
      </c>
      <c r="I6" s="179" t="s">
        <v>482</v>
      </c>
      <c r="J6" s="176" t="s">
        <v>481</v>
      </c>
      <c r="K6" s="143" t="s">
        <v>482</v>
      </c>
    </row>
    <row r="7" spans="1:11" ht="15" customHeight="1" thickBot="1" x14ac:dyDescent="0.35">
      <c r="B7" s="211" t="s">
        <v>483</v>
      </c>
      <c r="C7" s="212"/>
      <c r="D7" s="137">
        <f>D8+D10+D9</f>
        <v>4522987</v>
      </c>
      <c r="E7" s="138">
        <v>100</v>
      </c>
      <c r="F7" s="148">
        <f>F8+F10+F9</f>
        <v>878628</v>
      </c>
      <c r="G7" s="147">
        <v>100</v>
      </c>
      <c r="H7" s="193">
        <f>H8+H10+H9</f>
        <v>3532572</v>
      </c>
      <c r="I7" s="180">
        <v>100</v>
      </c>
      <c r="J7" s="177">
        <f>D7+F7+H7</f>
        <v>8934187</v>
      </c>
      <c r="K7" s="144">
        <v>100</v>
      </c>
    </row>
    <row r="8" spans="1:11" ht="15" customHeight="1" x14ac:dyDescent="0.3">
      <c r="B8" s="203" t="s">
        <v>484</v>
      </c>
      <c r="C8" s="139" t="s">
        <v>486</v>
      </c>
      <c r="D8" s="140">
        <f>3552147</f>
        <v>3552147</v>
      </c>
      <c r="E8" s="207">
        <f>(D8+D9)*E7/D7</f>
        <v>91.688346661177675</v>
      </c>
      <c r="F8" s="140">
        <f>861400-F9</f>
        <v>839500</v>
      </c>
      <c r="G8" s="209">
        <f>(F8+F9)*G7/F7</f>
        <v>98.039215686274517</v>
      </c>
      <c r="H8" s="181">
        <f>ROUND('Kopsavillums TPL'!G29,0)</f>
        <v>3384066</v>
      </c>
      <c r="I8" s="215">
        <f>(H8+H9)*I7/H7</f>
        <v>98.384887838096432</v>
      </c>
      <c r="J8" s="178">
        <f t="shared" ref="J8:J10" si="0">D8+F8+H8</f>
        <v>7775713</v>
      </c>
      <c r="K8" s="217">
        <f>(J8+J9)*K7/J7</f>
        <v>94.960727820001978</v>
      </c>
    </row>
    <row r="9" spans="1:11" ht="15" customHeight="1" x14ac:dyDescent="0.3">
      <c r="B9" s="204"/>
      <c r="C9" s="139" t="s">
        <v>487</v>
      </c>
      <c r="D9" s="140">
        <v>594905</v>
      </c>
      <c r="E9" s="208"/>
      <c r="F9" s="140">
        <v>21900</v>
      </c>
      <c r="G9" s="210"/>
      <c r="H9" s="182">
        <f>ROUND('pieskaitāmās izmaksas'!K14,0)</f>
        <v>91451</v>
      </c>
      <c r="I9" s="216"/>
      <c r="J9" s="178">
        <f t="shared" si="0"/>
        <v>708256</v>
      </c>
      <c r="K9" s="218"/>
    </row>
    <row r="10" spans="1:11" ht="15" customHeight="1" x14ac:dyDescent="0.3">
      <c r="B10" s="205" t="s">
        <v>485</v>
      </c>
      <c r="C10" s="206"/>
      <c r="D10" s="140">
        <v>375935</v>
      </c>
      <c r="E10" s="141">
        <f>E7-E8</f>
        <v>8.3116533388223246</v>
      </c>
      <c r="F10" s="140">
        <v>17228</v>
      </c>
      <c r="G10" s="175">
        <f>G7-G8</f>
        <v>1.9607843137254832</v>
      </c>
      <c r="H10" s="182">
        <f>ROUND('pieskaitāmās izmaksas'!K23,0)</f>
        <v>57055</v>
      </c>
      <c r="I10" s="183">
        <f>I7-I8</f>
        <v>1.6151121619035678</v>
      </c>
      <c r="J10" s="178">
        <f t="shared" si="0"/>
        <v>450218</v>
      </c>
      <c r="K10" s="145">
        <f>K7-K8</f>
        <v>5.0392721799980222</v>
      </c>
    </row>
    <row r="11" spans="1:11" ht="6.65" customHeight="1" x14ac:dyDescent="0.3">
      <c r="H11" s="192"/>
      <c r="I11" s="184"/>
    </row>
    <row r="12" spans="1:11" ht="15" customHeight="1" x14ac:dyDescent="0.3">
      <c r="B12" s="146" t="s">
        <v>455</v>
      </c>
      <c r="H12" s="192"/>
      <c r="I12" s="184"/>
    </row>
    <row r="13" spans="1:11" s="133" customFormat="1" ht="15" customHeight="1" x14ac:dyDescent="0.3">
      <c r="B13" s="198" t="s">
        <v>426</v>
      </c>
      <c r="C13" s="199"/>
      <c r="D13" s="202" t="s">
        <v>479</v>
      </c>
      <c r="E13" s="202"/>
      <c r="F13" s="219" t="s">
        <v>531</v>
      </c>
      <c r="G13" s="220"/>
      <c r="H13" s="223" t="s">
        <v>533</v>
      </c>
      <c r="I13" s="224"/>
      <c r="J13" s="221" t="s">
        <v>480</v>
      </c>
      <c r="K13" s="202"/>
    </row>
    <row r="14" spans="1:11" ht="15" customHeight="1" thickBot="1" x14ac:dyDescent="0.35">
      <c r="B14" s="200"/>
      <c r="C14" s="201"/>
      <c r="D14" s="134" t="s">
        <v>481</v>
      </c>
      <c r="E14" s="135" t="s">
        <v>482</v>
      </c>
      <c r="F14" s="142" t="s">
        <v>481</v>
      </c>
      <c r="G14" s="174" t="s">
        <v>482</v>
      </c>
      <c r="H14" s="191" t="s">
        <v>481</v>
      </c>
      <c r="I14" s="179" t="s">
        <v>482</v>
      </c>
      <c r="J14" s="176" t="s">
        <v>481</v>
      </c>
      <c r="K14" s="143" t="s">
        <v>482</v>
      </c>
    </row>
    <row r="15" spans="1:11" ht="15" customHeight="1" thickBot="1" x14ac:dyDescent="0.35">
      <c r="B15" s="211" t="s">
        <v>483</v>
      </c>
      <c r="C15" s="212"/>
      <c r="D15" s="137">
        <f>D16+D18+D17</f>
        <v>4522987</v>
      </c>
      <c r="E15" s="138">
        <v>100</v>
      </c>
      <c r="F15" s="148">
        <f>F16+F18+F17</f>
        <v>878628</v>
      </c>
      <c r="G15" s="147">
        <v>100</v>
      </c>
      <c r="H15" s="193">
        <f>H16+H18+H17</f>
        <v>3905292</v>
      </c>
      <c r="I15" s="180">
        <v>100</v>
      </c>
      <c r="J15" s="177">
        <f>D15+F15+H15</f>
        <v>9306907</v>
      </c>
      <c r="K15" s="144">
        <v>100</v>
      </c>
    </row>
    <row r="16" spans="1:11" ht="15" customHeight="1" x14ac:dyDescent="0.3">
      <c r="B16" s="203" t="s">
        <v>484</v>
      </c>
      <c r="C16" s="139" t="s">
        <v>486</v>
      </c>
      <c r="D16" s="140">
        <f>3552147</f>
        <v>3552147</v>
      </c>
      <c r="E16" s="207">
        <f>(D16+D17)*E15/D15</f>
        <v>91.688346661177675</v>
      </c>
      <c r="F16" s="140">
        <f>861400-F17</f>
        <v>839500</v>
      </c>
      <c r="G16" s="209">
        <f>(F16+F17)*G15/F15</f>
        <v>98.039215686274517</v>
      </c>
      <c r="H16" s="181">
        <f>ROUND('Kopsavillums TPL'!M29,0)</f>
        <v>3756786</v>
      </c>
      <c r="I16" s="215">
        <f>(H16+H17)*I15/H15</f>
        <v>98.539033700937082</v>
      </c>
      <c r="J16" s="178">
        <f t="shared" ref="J16:J18" si="1">D16+F16+H16</f>
        <v>8148433</v>
      </c>
      <c r="K16" s="217">
        <f>(J16+J17)*K15/J15</f>
        <v>95.162538961655031</v>
      </c>
    </row>
    <row r="17" spans="1:11" ht="15" customHeight="1" x14ac:dyDescent="0.3">
      <c r="B17" s="204"/>
      <c r="C17" s="139" t="s">
        <v>487</v>
      </c>
      <c r="D17" s="140">
        <v>594905</v>
      </c>
      <c r="E17" s="208"/>
      <c r="F17" s="140">
        <v>21900</v>
      </c>
      <c r="G17" s="210"/>
      <c r="H17" s="182">
        <f>H9</f>
        <v>91451</v>
      </c>
      <c r="I17" s="216"/>
      <c r="J17" s="178">
        <f t="shared" si="1"/>
        <v>708256</v>
      </c>
      <c r="K17" s="218"/>
    </row>
    <row r="18" spans="1:11" ht="15" customHeight="1" x14ac:dyDescent="0.3">
      <c r="B18" s="205" t="s">
        <v>485</v>
      </c>
      <c r="C18" s="206"/>
      <c r="D18" s="140">
        <v>375935</v>
      </c>
      <c r="E18" s="141">
        <f>E15-E16</f>
        <v>8.3116533388223246</v>
      </c>
      <c r="F18" s="140">
        <v>17228</v>
      </c>
      <c r="G18" s="175">
        <f>G15-G16</f>
        <v>1.9607843137254832</v>
      </c>
      <c r="H18" s="182">
        <f>H10</f>
        <v>57055</v>
      </c>
      <c r="I18" s="183">
        <f>I15-I16</f>
        <v>1.4609662990629175</v>
      </c>
      <c r="J18" s="178">
        <f t="shared" si="1"/>
        <v>450218</v>
      </c>
      <c r="K18" s="145">
        <f>K15-K16</f>
        <v>4.8374610383449692</v>
      </c>
    </row>
    <row r="19" spans="1:11" ht="8.4" customHeight="1" x14ac:dyDescent="0.3">
      <c r="H19" s="192"/>
      <c r="I19" s="184"/>
    </row>
    <row r="20" spans="1:11" ht="15" customHeight="1" x14ac:dyDescent="0.3">
      <c r="B20" s="225" t="s">
        <v>488</v>
      </c>
      <c r="C20" s="225"/>
      <c r="H20" s="192"/>
      <c r="I20" s="184"/>
    </row>
    <row r="21" spans="1:11" s="133" customFormat="1" ht="15" customHeight="1" x14ac:dyDescent="0.3">
      <c r="B21" s="198" t="s">
        <v>426</v>
      </c>
      <c r="C21" s="199"/>
      <c r="D21" s="202" t="s">
        <v>479</v>
      </c>
      <c r="E21" s="202"/>
      <c r="F21" s="219" t="s">
        <v>531</v>
      </c>
      <c r="G21" s="220"/>
      <c r="H21" s="223" t="s">
        <v>533</v>
      </c>
      <c r="I21" s="224"/>
      <c r="J21" s="221" t="s">
        <v>480</v>
      </c>
      <c r="K21" s="202"/>
    </row>
    <row r="22" spans="1:11" ht="15" customHeight="1" thickBot="1" x14ac:dyDescent="0.35">
      <c r="B22" s="200"/>
      <c r="C22" s="201"/>
      <c r="D22" s="134" t="s">
        <v>481</v>
      </c>
      <c r="E22" s="135" t="s">
        <v>482</v>
      </c>
      <c r="F22" s="142" t="s">
        <v>481</v>
      </c>
      <c r="G22" s="174" t="s">
        <v>482</v>
      </c>
      <c r="H22" s="191" t="s">
        <v>481</v>
      </c>
      <c r="I22" s="179" t="s">
        <v>482</v>
      </c>
      <c r="J22" s="176" t="s">
        <v>481</v>
      </c>
      <c r="K22" s="143" t="s">
        <v>482</v>
      </c>
    </row>
    <row r="23" spans="1:11" ht="15" customHeight="1" thickBot="1" x14ac:dyDescent="0.35">
      <c r="B23" s="211" t="s">
        <v>483</v>
      </c>
      <c r="C23" s="212"/>
      <c r="D23" s="137">
        <f>D24+D26+D25</f>
        <v>4522987</v>
      </c>
      <c r="E23" s="138">
        <v>100</v>
      </c>
      <c r="F23" s="148">
        <f>F24+F26+F25</f>
        <v>878628</v>
      </c>
      <c r="G23" s="147">
        <v>100</v>
      </c>
      <c r="H23" s="193">
        <f>H24+H26+H25</f>
        <v>4182239</v>
      </c>
      <c r="I23" s="180">
        <v>100</v>
      </c>
      <c r="J23" s="177">
        <f>D23+F23+H23</f>
        <v>9583854</v>
      </c>
      <c r="K23" s="144">
        <v>100</v>
      </c>
    </row>
    <row r="24" spans="1:11" ht="15" customHeight="1" x14ac:dyDescent="0.3">
      <c r="B24" s="203" t="s">
        <v>484</v>
      </c>
      <c r="C24" s="139" t="s">
        <v>486</v>
      </c>
      <c r="D24" s="140">
        <f>3552147</f>
        <v>3552147</v>
      </c>
      <c r="E24" s="207">
        <f>(D24+D25)*E23/D23</f>
        <v>91.688346661177675</v>
      </c>
      <c r="F24" s="140">
        <f>861400-F25</f>
        <v>839500</v>
      </c>
      <c r="G24" s="209">
        <f>(F24+F25)*G23/F23</f>
        <v>98.039215686274517</v>
      </c>
      <c r="H24" s="181">
        <f>ROUND('Kopsavillums TPL'!S29,0)</f>
        <v>4033733</v>
      </c>
      <c r="I24" s="215">
        <f>(H24+H25)*I23/H23</f>
        <v>98.635778586541804</v>
      </c>
      <c r="J24" s="178">
        <f t="shared" ref="J24:J26" si="2">D24+F24+H24</f>
        <v>8425380</v>
      </c>
      <c r="K24" s="217">
        <f>(J24+J25)*K23/J23</f>
        <v>95.302328270025811</v>
      </c>
    </row>
    <row r="25" spans="1:11" ht="15" customHeight="1" x14ac:dyDescent="0.3">
      <c r="B25" s="204"/>
      <c r="C25" s="139" t="s">
        <v>487</v>
      </c>
      <c r="D25" s="140">
        <v>594905</v>
      </c>
      <c r="E25" s="208"/>
      <c r="F25" s="140">
        <v>21900</v>
      </c>
      <c r="G25" s="210"/>
      <c r="H25" s="182">
        <f>H17</f>
        <v>91451</v>
      </c>
      <c r="I25" s="216"/>
      <c r="J25" s="178">
        <f t="shared" si="2"/>
        <v>708256</v>
      </c>
      <c r="K25" s="218"/>
    </row>
    <row r="26" spans="1:11" ht="15" customHeight="1" thickBot="1" x14ac:dyDescent="0.35">
      <c r="B26" s="205" t="s">
        <v>485</v>
      </c>
      <c r="C26" s="206"/>
      <c r="D26" s="140">
        <v>375935</v>
      </c>
      <c r="E26" s="141">
        <f>E23-E24</f>
        <v>8.3116533388223246</v>
      </c>
      <c r="F26" s="140">
        <v>17228</v>
      </c>
      <c r="G26" s="175">
        <f>G23-G24</f>
        <v>1.9607843137254832</v>
      </c>
      <c r="H26" s="185">
        <f>H18</f>
        <v>57055</v>
      </c>
      <c r="I26" s="186">
        <f>I23-I24</f>
        <v>1.3642214134581963</v>
      </c>
      <c r="J26" s="178">
        <f t="shared" si="2"/>
        <v>450218</v>
      </c>
      <c r="K26" s="145">
        <f>K23-K24</f>
        <v>4.6976717299741892</v>
      </c>
    </row>
    <row r="27" spans="1:11" ht="48" customHeight="1" x14ac:dyDescent="0.3">
      <c r="B27" s="226" t="s">
        <v>534</v>
      </c>
      <c r="C27" s="226"/>
      <c r="D27" s="226"/>
      <c r="E27" s="226"/>
      <c r="F27" s="226"/>
      <c r="G27" s="226"/>
      <c r="H27" s="226"/>
      <c r="I27" s="226"/>
      <c r="J27" s="226"/>
      <c r="K27" s="226"/>
    </row>
    <row r="28" spans="1:11" s="170" customFormat="1" x14ac:dyDescent="0.3">
      <c r="A28" s="197" t="s">
        <v>521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</row>
    <row r="29" spans="1:11" s="170" customFormat="1" ht="30" customHeight="1" x14ac:dyDescent="0.3">
      <c r="A29" s="188" t="str">
        <f>'Kopsavillums TPL'!A1:U1</f>
        <v>2.pielikuma 1.tabula</v>
      </c>
      <c r="B29" s="222" t="str">
        <f>'Kopsavillums TPL'!A3</f>
        <v>Ministru kabineta noteikumu projekta „Grozījumi Ministru kabineta 2009. gada 15.decembra noteikumos Nr. 1474 "Tehnisko palīglīdzekļu noteikumi"” izpildes rādītāju 2022. - 2024. gadā kopsavilkums</v>
      </c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1" s="170" customFormat="1" ht="30" customHeight="1" x14ac:dyDescent="0.3">
      <c r="A30" s="188" t="str">
        <f>'2022.'!A1:R1</f>
        <v>2.pielikuma 2.tabula</v>
      </c>
      <c r="B30" s="222" t="str">
        <f>'2022.'!A3</f>
        <v>Ministru kabineta noteikumu projekta „Grozījumi Ministru kabineta 2009. gada 15.decembra noteikumos Nr. 1474 "Tehnisko palīglīdzekļu noteikumi"” izpildes rādītāji 2022. gadā</v>
      </c>
      <c r="C30" s="222"/>
      <c r="D30" s="222"/>
      <c r="E30" s="222"/>
      <c r="F30" s="222"/>
      <c r="G30" s="222"/>
      <c r="H30" s="222"/>
      <c r="I30" s="222"/>
      <c r="J30" s="222"/>
      <c r="K30" s="222"/>
    </row>
    <row r="31" spans="1:11" s="170" customFormat="1" ht="30" customHeight="1" x14ac:dyDescent="0.3">
      <c r="A31" s="188" t="str">
        <f>'2023.'!A1:Q1</f>
        <v>2.pielikuma 3.tabula</v>
      </c>
      <c r="B31" s="222" t="str">
        <f>'2023.'!A3</f>
        <v>Ministru kabineta noteikumu projekta „Grozījumi Ministru kabineta 2009. gada 15.decembra noteikumos Nr. 1474 "Tehnisko palīglīdzekļu noteikumi"” izpildes rādītāji 2023. gadā</v>
      </c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11" s="189" customFormat="1" ht="30" customHeight="1" x14ac:dyDescent="0.3">
      <c r="A32" s="188" t="str">
        <f>'2024.'!A1:Q1</f>
        <v>2.pielikuma 4.tabula</v>
      </c>
      <c r="B32" s="222" t="str">
        <f>'2024.'!A3</f>
        <v>Ministru kabineta noteikumu projekta „Grozījumi Ministru kabineta 2009. gada 15.decembra noteikumos Nr. 1474 "Tehnisko palīglīdzekļu noteikumi"” izpildes rādītāji 2024. gadā</v>
      </c>
      <c r="C32" s="222"/>
      <c r="D32" s="222"/>
      <c r="E32" s="222"/>
      <c r="F32" s="222"/>
      <c r="G32" s="222"/>
      <c r="H32" s="222"/>
      <c r="I32" s="222"/>
      <c r="J32" s="222"/>
      <c r="K32" s="222"/>
    </row>
    <row r="33" spans="1:11" s="189" customFormat="1" ht="30" customHeight="1" x14ac:dyDescent="0.3">
      <c r="A33" s="190" t="str">
        <f>'pieskaitāmās izmaksas'!A1:K1</f>
        <v>2.pielikuma 5.tabula</v>
      </c>
      <c r="B33" s="222" t="str">
        <f>'pieskaitāmās izmaksas'!A3</f>
        <v>VSIA "Nacionālā rehabilitācijas centrs "Vaivari"" finansējums administratīvo un pakalpojuma nodrošināšanas izdevumu segšanai</v>
      </c>
      <c r="C33" s="222"/>
      <c r="D33" s="222"/>
      <c r="E33" s="222"/>
      <c r="F33" s="222"/>
      <c r="G33" s="222"/>
      <c r="H33" s="222"/>
      <c r="I33" s="222"/>
      <c r="J33" s="222"/>
      <c r="K33" s="222"/>
    </row>
    <row r="35" spans="1:11" x14ac:dyDescent="0.3">
      <c r="A35" s="194" t="s">
        <v>535</v>
      </c>
    </row>
    <row r="36" spans="1:11" x14ac:dyDescent="0.3">
      <c r="A36" s="195" t="s">
        <v>536</v>
      </c>
    </row>
    <row r="37" spans="1:11" x14ac:dyDescent="0.3">
      <c r="A37" s="195" t="s">
        <v>537</v>
      </c>
    </row>
    <row r="38" spans="1:11" x14ac:dyDescent="0.3">
      <c r="A38" s="195" t="s">
        <v>538</v>
      </c>
    </row>
    <row r="39" spans="1:11" ht="14.5" x14ac:dyDescent="0.3">
      <c r="A39" s="196" t="s">
        <v>539</v>
      </c>
    </row>
  </sheetData>
  <mergeCells count="46">
    <mergeCell ref="A1:K1"/>
    <mergeCell ref="A2:K2"/>
    <mergeCell ref="A3:K3"/>
    <mergeCell ref="B29:K29"/>
    <mergeCell ref="G24:G25"/>
    <mergeCell ref="I24:I25"/>
    <mergeCell ref="B18:C18"/>
    <mergeCell ref="F13:G13"/>
    <mergeCell ref="H13:I13"/>
    <mergeCell ref="B16:B17"/>
    <mergeCell ref="E16:E17"/>
    <mergeCell ref="G16:G17"/>
    <mergeCell ref="I16:I17"/>
    <mergeCell ref="J13:K13"/>
    <mergeCell ref="B15:C15"/>
    <mergeCell ref="B31:K31"/>
    <mergeCell ref="B32:K32"/>
    <mergeCell ref="B33:K33"/>
    <mergeCell ref="K16:K17"/>
    <mergeCell ref="K24:K25"/>
    <mergeCell ref="B26:C26"/>
    <mergeCell ref="B21:C22"/>
    <mergeCell ref="D21:E21"/>
    <mergeCell ref="F21:G21"/>
    <mergeCell ref="H21:I21"/>
    <mergeCell ref="J21:K21"/>
    <mergeCell ref="B23:C23"/>
    <mergeCell ref="B20:C20"/>
    <mergeCell ref="B24:B25"/>
    <mergeCell ref="E24:E25"/>
    <mergeCell ref="B27:K27"/>
    <mergeCell ref="K8:K9"/>
    <mergeCell ref="D5:E5"/>
    <mergeCell ref="F5:G5"/>
    <mergeCell ref="J5:K5"/>
    <mergeCell ref="B30:K30"/>
    <mergeCell ref="G8:G9"/>
    <mergeCell ref="B5:C6"/>
    <mergeCell ref="B7:C7"/>
    <mergeCell ref="H5:I5"/>
    <mergeCell ref="I8:I9"/>
    <mergeCell ref="B13:C14"/>
    <mergeCell ref="D13:E13"/>
    <mergeCell ref="B8:B9"/>
    <mergeCell ref="B10:C10"/>
    <mergeCell ref="E8:E9"/>
  </mergeCells>
  <hyperlinks>
    <hyperlink ref="A39" r:id="rId1" display="mailto:Sandra.Strele@lm.gov.lv" xr:uid="{2638B739-4CA7-4A84-B3B5-6B71B6453A3F}"/>
  </hyperlinks>
  <pageMargins left="0.70866141732283472" right="0.70866141732283472" top="0.74803149606299213" bottom="0.74803149606299213" header="0.31496062992125984" footer="0.31496062992125984"/>
  <pageSetup scale="6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8DD6-AD07-4BD9-B99E-8EFCC7957056}">
  <dimension ref="A1:U35"/>
  <sheetViews>
    <sheetView topLeftCell="A19" zoomScale="70" zoomScaleNormal="70" workbookViewId="0">
      <selection activeCell="G32" sqref="G32"/>
    </sheetView>
  </sheetViews>
  <sheetFormatPr defaultColWidth="8.90625" defaultRowHeight="13" x14ac:dyDescent="0.3"/>
  <cols>
    <col min="1" max="1" width="8.90625" style="30"/>
    <col min="2" max="2" width="38.36328125" style="32" customWidth="1"/>
    <col min="3" max="6" width="9.90625" style="2" customWidth="1"/>
    <col min="7" max="7" width="13.1796875" style="2" customWidth="1"/>
    <col min="8" max="8" width="1.1796875" style="2" customWidth="1"/>
    <col min="9" max="12" width="9.90625" style="2" customWidth="1"/>
    <col min="13" max="13" width="12.6328125" style="2" customWidth="1"/>
    <col min="14" max="14" width="1.1796875" style="2" customWidth="1"/>
    <col min="15" max="18" width="9.90625" style="2" customWidth="1"/>
    <col min="19" max="19" width="13" style="2" customWidth="1"/>
    <col min="20" max="20" width="1.1796875" style="2" customWidth="1"/>
    <col min="21" max="21" width="9.90625" style="2" customWidth="1"/>
    <col min="22" max="16384" width="8.90625" style="2"/>
  </cols>
  <sheetData>
    <row r="1" spans="1:21" x14ac:dyDescent="0.3">
      <c r="A1" s="235" t="s">
        <v>526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:21" x14ac:dyDescent="0.3">
      <c r="A2" s="235" t="s">
        <v>463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</row>
    <row r="3" spans="1:21" ht="15.5" x14ac:dyDescent="0.3">
      <c r="A3" s="236" t="s">
        <v>467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</row>
    <row r="4" spans="1:21" ht="16.25" customHeight="1" x14ac:dyDescent="0.3">
      <c r="A4" s="237" t="s">
        <v>0</v>
      </c>
      <c r="B4" s="238" t="s">
        <v>1</v>
      </c>
      <c r="C4" s="230" t="s">
        <v>452</v>
      </c>
      <c r="D4" s="231"/>
      <c r="E4" s="231"/>
      <c r="F4" s="231"/>
      <c r="G4" s="232"/>
      <c r="I4" s="230" t="s">
        <v>455</v>
      </c>
      <c r="J4" s="231"/>
      <c r="K4" s="231"/>
      <c r="L4" s="231"/>
      <c r="M4" s="232"/>
      <c r="O4" s="230" t="s">
        <v>458</v>
      </c>
      <c r="P4" s="231"/>
      <c r="Q4" s="231"/>
      <c r="R4" s="231"/>
      <c r="S4" s="232"/>
      <c r="U4" s="40" t="s">
        <v>460</v>
      </c>
    </row>
    <row r="5" spans="1:21" ht="69" customHeight="1" x14ac:dyDescent="0.3">
      <c r="A5" s="237"/>
      <c r="B5" s="238"/>
      <c r="C5" s="36" t="s">
        <v>454</v>
      </c>
      <c r="D5" s="36" t="s">
        <v>450</v>
      </c>
      <c r="E5" s="36" t="s">
        <v>453</v>
      </c>
      <c r="F5" s="36" t="s">
        <v>424</v>
      </c>
      <c r="G5" s="36" t="s">
        <v>451</v>
      </c>
      <c r="I5" s="36" t="s">
        <v>456</v>
      </c>
      <c r="J5" s="36" t="s">
        <v>457</v>
      </c>
      <c r="K5" s="36" t="s">
        <v>453</v>
      </c>
      <c r="L5" s="36" t="s">
        <v>424</v>
      </c>
      <c r="M5" s="36" t="s">
        <v>451</v>
      </c>
      <c r="O5" s="36" t="s">
        <v>459</v>
      </c>
      <c r="P5" s="36" t="s">
        <v>462</v>
      </c>
      <c r="Q5" s="36" t="s">
        <v>453</v>
      </c>
      <c r="R5" s="36" t="s">
        <v>424</v>
      </c>
      <c r="S5" s="36" t="s">
        <v>451</v>
      </c>
      <c r="U5" s="36" t="s">
        <v>461</v>
      </c>
    </row>
    <row r="6" spans="1:21" s="11" customFormat="1" ht="10.5" x14ac:dyDescent="0.25">
      <c r="A6" s="8">
        <v>1</v>
      </c>
      <c r="B6" s="10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U6" s="9">
        <v>18</v>
      </c>
    </row>
    <row r="7" spans="1:21" s="43" customFormat="1" ht="25.75" customHeight="1" x14ac:dyDescent="0.35">
      <c r="A7" s="233" t="s">
        <v>439</v>
      </c>
      <c r="B7" s="233"/>
      <c r="C7" s="41">
        <f>'2022.'!G7</f>
        <v>78</v>
      </c>
      <c r="D7" s="41">
        <f>'2022.'!K7</f>
        <v>2816</v>
      </c>
      <c r="E7" s="41">
        <f>'2022.'!M7</f>
        <v>2736</v>
      </c>
      <c r="F7" s="41">
        <f>'2022.'!N7</f>
        <v>2736</v>
      </c>
      <c r="G7" s="42">
        <f>'2022.'!P7</f>
        <v>1202295</v>
      </c>
      <c r="I7" s="41">
        <f>'2023.'!F7</f>
        <v>80</v>
      </c>
      <c r="J7" s="41">
        <f>'2023.'!J7</f>
        <v>2886</v>
      </c>
      <c r="K7" s="41">
        <f>'2023.'!L7</f>
        <v>2738</v>
      </c>
      <c r="L7" s="41">
        <f>'2023.'!M7</f>
        <v>2738</v>
      </c>
      <c r="M7" s="42">
        <f>'2023.'!O7</f>
        <v>1233647.3189999997</v>
      </c>
      <c r="O7" s="41">
        <f>'2024.'!F7</f>
        <v>149</v>
      </c>
      <c r="P7" s="41">
        <f>'2024.'!J7</f>
        <v>2960</v>
      </c>
      <c r="Q7" s="41">
        <f>'2024.'!L7</f>
        <v>2738</v>
      </c>
      <c r="R7" s="41">
        <f>'2024.'!M7</f>
        <v>2738</v>
      </c>
      <c r="S7" s="42">
        <f>'2024.'!O7</f>
        <v>1264488.5019749997</v>
      </c>
      <c r="U7" s="41">
        <f>'2024.'!P7</f>
        <v>222</v>
      </c>
    </row>
    <row r="8" spans="1:21" s="43" customFormat="1" ht="25.75" customHeight="1" x14ac:dyDescent="0.35">
      <c r="A8" s="233" t="s">
        <v>440</v>
      </c>
      <c r="B8" s="233"/>
      <c r="C8" s="41">
        <f>'2022.'!G14</f>
        <v>5</v>
      </c>
      <c r="D8" s="41">
        <f>'2022.'!K14</f>
        <v>29</v>
      </c>
      <c r="E8" s="41">
        <f>'2022.'!M14</f>
        <v>24</v>
      </c>
      <c r="F8" s="41">
        <f>'2022.'!N14</f>
        <v>24</v>
      </c>
      <c r="G8" s="42">
        <f>'2022.'!P14</f>
        <v>66017.279999999999</v>
      </c>
      <c r="I8" s="41">
        <f>'2023.'!F14</f>
        <v>5</v>
      </c>
      <c r="J8" s="41">
        <f>'2023.'!J14</f>
        <v>30</v>
      </c>
      <c r="K8" s="41">
        <f>'2023.'!L14</f>
        <v>24</v>
      </c>
      <c r="L8" s="41">
        <f>'2023.'!M14</f>
        <v>24</v>
      </c>
      <c r="M8" s="42">
        <f>'2023.'!O14</f>
        <v>67667.711999999985</v>
      </c>
      <c r="O8" s="41">
        <f>'2024.'!F14</f>
        <v>6</v>
      </c>
      <c r="P8" s="41">
        <f>'2024.'!J14</f>
        <v>31</v>
      </c>
      <c r="Q8" s="41">
        <f>'2024.'!L14</f>
        <v>24</v>
      </c>
      <c r="R8" s="41">
        <f>'2024.'!M14</f>
        <v>24</v>
      </c>
      <c r="S8" s="42">
        <f>'2024.'!O14</f>
        <v>69359.404799999975</v>
      </c>
      <c r="U8" s="41">
        <f>'2024.'!P14</f>
        <v>7</v>
      </c>
    </row>
    <row r="9" spans="1:21" s="43" customFormat="1" ht="25.75" customHeight="1" x14ac:dyDescent="0.35">
      <c r="A9" s="233" t="s">
        <v>441</v>
      </c>
      <c r="B9" s="233"/>
      <c r="C9" s="41">
        <f>C10+C12+C11</f>
        <v>346</v>
      </c>
      <c r="D9" s="41">
        <f t="shared" ref="D9:G9" si="0">D10+D12+D11</f>
        <v>4897</v>
      </c>
      <c r="E9" s="41">
        <f t="shared" si="0"/>
        <v>4511</v>
      </c>
      <c r="F9" s="41">
        <f t="shared" si="0"/>
        <v>6149</v>
      </c>
      <c r="G9" s="42">
        <f t="shared" si="0"/>
        <v>1795506.9379999998</v>
      </c>
      <c r="I9" s="41">
        <f>I10+I12+I11</f>
        <v>386</v>
      </c>
      <c r="J9" s="41">
        <f t="shared" ref="J9" si="1">J10+J12+J11</f>
        <v>5019</v>
      </c>
      <c r="K9" s="41">
        <f t="shared" ref="K9" si="2">K10+K12+K11</f>
        <v>4593</v>
      </c>
      <c r="L9" s="41">
        <f t="shared" ref="L9" si="3">L10+L12+L11</f>
        <v>6227</v>
      </c>
      <c r="M9" s="42">
        <f t="shared" ref="M9" si="4">M10+M12+M11</f>
        <v>1886775.64081875</v>
      </c>
      <c r="O9" s="41">
        <f>'2024.'!F16</f>
        <v>416</v>
      </c>
      <c r="P9" s="41">
        <f>'2024.'!J16</f>
        <v>5122</v>
      </c>
      <c r="Q9" s="41">
        <f>'2024.'!L16</f>
        <v>4694</v>
      </c>
      <c r="R9" s="41">
        <f>'2024.'!M16</f>
        <v>6349</v>
      </c>
      <c r="S9" s="42">
        <f>'2024.'!O16</f>
        <v>1954733.5530353123</v>
      </c>
      <c r="U9" s="41">
        <f>'2024.'!P16</f>
        <v>428</v>
      </c>
    </row>
    <row r="10" spans="1:21" s="46" customFormat="1" ht="22.25" customHeight="1" x14ac:dyDescent="0.35">
      <c r="A10" s="234" t="s">
        <v>403</v>
      </c>
      <c r="B10" s="234"/>
      <c r="C10" s="44">
        <f>'2022.'!G17</f>
        <v>122</v>
      </c>
      <c r="D10" s="44">
        <f>'2022.'!K17</f>
        <v>1619</v>
      </c>
      <c r="E10" s="44">
        <f>'2022.'!M17</f>
        <v>1484</v>
      </c>
      <c r="F10" s="44">
        <f>'2022.'!N17</f>
        <v>1802</v>
      </c>
      <c r="G10" s="45">
        <f>'2022.'!P17</f>
        <v>1014518.1554999998</v>
      </c>
      <c r="I10" s="44">
        <f>'2023.'!F17</f>
        <v>135</v>
      </c>
      <c r="J10" s="44">
        <f>'2023.'!J17</f>
        <v>1659</v>
      </c>
      <c r="K10" s="44">
        <f>'2023.'!L17</f>
        <v>1539</v>
      </c>
      <c r="L10" s="44">
        <f>'2023.'!M17</f>
        <v>1853</v>
      </c>
      <c r="M10" s="45">
        <f>'2023.'!O17</f>
        <v>1081782.8282812501</v>
      </c>
      <c r="O10" s="44">
        <f>'2024.'!F17</f>
        <v>114</v>
      </c>
      <c r="P10" s="44">
        <f>'2024.'!J17</f>
        <v>1687</v>
      </c>
      <c r="Q10" s="44">
        <f>'2024.'!L17</f>
        <v>1539</v>
      </c>
      <c r="R10" s="44">
        <f>'2024.'!M17</f>
        <v>1849</v>
      </c>
      <c r="S10" s="45">
        <f>'2024.'!O17</f>
        <v>1107534.3611807812</v>
      </c>
      <c r="U10" s="44">
        <f>'2024.'!P17</f>
        <v>148</v>
      </c>
    </row>
    <row r="11" spans="1:21" s="46" customFormat="1" ht="22.25" customHeight="1" x14ac:dyDescent="0.35">
      <c r="A11" s="234" t="s">
        <v>404</v>
      </c>
      <c r="B11" s="234"/>
      <c r="C11" s="44">
        <f>'2022.'!G88</f>
        <v>224</v>
      </c>
      <c r="D11" s="44">
        <f>'2022.'!K88</f>
        <v>2891</v>
      </c>
      <c r="E11" s="44">
        <f>'2022.'!M88</f>
        <v>2664</v>
      </c>
      <c r="F11" s="44">
        <f>'2022.'!N88</f>
        <v>3984</v>
      </c>
      <c r="G11" s="45">
        <f>'2022.'!P88</f>
        <v>723316.84250000003</v>
      </c>
      <c r="I11" s="44">
        <f>'2023.'!F88</f>
        <v>227</v>
      </c>
      <c r="J11" s="44">
        <f>'2023.'!J88</f>
        <v>2963</v>
      </c>
      <c r="K11" s="44">
        <f>'2023.'!L88</f>
        <v>2667</v>
      </c>
      <c r="L11" s="44">
        <f>'2023.'!M88</f>
        <v>3987</v>
      </c>
      <c r="M11" s="45">
        <f>'2023.'!O88</f>
        <v>741953.4060374999</v>
      </c>
      <c r="O11" s="44">
        <f>'2024.'!F88</f>
        <v>295</v>
      </c>
      <c r="P11" s="44">
        <f>'2024.'!J88</f>
        <v>3034</v>
      </c>
      <c r="Q11" s="44">
        <f>'2024.'!L88</f>
        <v>2768</v>
      </c>
      <c r="R11" s="44">
        <f>'2024.'!M88</f>
        <v>4113</v>
      </c>
      <c r="S11" s="45">
        <f>'2024.'!O88</f>
        <v>782583.80019203108</v>
      </c>
      <c r="U11" s="44">
        <f>'2024.'!P88</f>
        <v>266</v>
      </c>
    </row>
    <row r="12" spans="1:21" s="46" customFormat="1" ht="22.25" customHeight="1" x14ac:dyDescent="0.35">
      <c r="A12" s="234" t="s">
        <v>405</v>
      </c>
      <c r="B12" s="234"/>
      <c r="C12" s="44">
        <f>'2022.'!G114</f>
        <v>0</v>
      </c>
      <c r="D12" s="44">
        <f>'2022.'!K114</f>
        <v>387</v>
      </c>
      <c r="E12" s="44">
        <f>'2022.'!M114</f>
        <v>363</v>
      </c>
      <c r="F12" s="44">
        <f>'2022.'!N114</f>
        <v>363</v>
      </c>
      <c r="G12" s="45">
        <f>'2022.'!P114</f>
        <v>57671.939999999995</v>
      </c>
      <c r="I12" s="44">
        <f>'2023.'!F114</f>
        <v>24</v>
      </c>
      <c r="J12" s="44">
        <f>'2023.'!J114</f>
        <v>397</v>
      </c>
      <c r="K12" s="44">
        <f>'2023.'!L114</f>
        <v>387</v>
      </c>
      <c r="L12" s="44">
        <f>'2023.'!M114</f>
        <v>387</v>
      </c>
      <c r="M12" s="45">
        <f>'2023.'!O114</f>
        <v>63039.406500000005</v>
      </c>
      <c r="O12" s="44">
        <f>'2024.'!F114</f>
        <v>7</v>
      </c>
      <c r="P12" s="44">
        <f>'2024.'!J114</f>
        <v>401</v>
      </c>
      <c r="Q12" s="44">
        <f>'2024.'!L114</f>
        <v>387</v>
      </c>
      <c r="R12" s="44">
        <f>'2024.'!M114</f>
        <v>387</v>
      </c>
      <c r="S12" s="45">
        <f>'2024.'!O114</f>
        <v>64615.391662500006</v>
      </c>
      <c r="U12" s="44">
        <f>'2024.'!P114</f>
        <v>14</v>
      </c>
    </row>
    <row r="13" spans="1:21" s="43" customFormat="1" ht="25.75" customHeight="1" x14ac:dyDescent="0.35">
      <c r="A13" s="233" t="s">
        <v>442</v>
      </c>
      <c r="B13" s="233"/>
      <c r="C13" s="41">
        <f>'2022.'!G132</f>
        <v>70</v>
      </c>
      <c r="D13" s="41">
        <f>'2022.'!K132</f>
        <v>898</v>
      </c>
      <c r="E13" s="41">
        <f>'2022.'!M132</f>
        <v>817</v>
      </c>
      <c r="F13" s="41">
        <f>'2022.'!N132</f>
        <v>866</v>
      </c>
      <c r="G13" s="42">
        <f>'2022.'!P132</f>
        <v>1292978.27</v>
      </c>
      <c r="I13" s="41">
        <f>'2023.'!F132</f>
        <v>81</v>
      </c>
      <c r="J13" s="41">
        <f>'2023.'!J132</f>
        <v>920</v>
      </c>
      <c r="K13" s="41">
        <f>'2023.'!L132</f>
        <v>828</v>
      </c>
      <c r="L13" s="41">
        <f>'2023.'!M132</f>
        <v>864</v>
      </c>
      <c r="M13" s="42">
        <f>'2023.'!O132</f>
        <v>1300545.8197499998</v>
      </c>
      <c r="O13" s="41">
        <f>'2024.'!F132</f>
        <v>90</v>
      </c>
      <c r="P13" s="41">
        <f>'2024.'!J132</f>
        <v>938</v>
      </c>
      <c r="Q13" s="41">
        <f>'2024.'!L132</f>
        <v>829</v>
      </c>
      <c r="R13" s="41">
        <f>'2024.'!M132</f>
        <v>865</v>
      </c>
      <c r="S13" s="42">
        <f>'2024.'!O132</f>
        <v>1324300.1524687496</v>
      </c>
      <c r="U13" s="41">
        <f>'2024.'!P132</f>
        <v>109</v>
      </c>
    </row>
    <row r="14" spans="1:21" s="43" customFormat="1" ht="25.75" customHeight="1" x14ac:dyDescent="0.35">
      <c r="A14" s="233" t="s">
        <v>443</v>
      </c>
      <c r="B14" s="233"/>
      <c r="C14" s="41">
        <f>'2022.'!G158</f>
        <v>210</v>
      </c>
      <c r="D14" s="41">
        <f>'2022.'!K158</f>
        <v>2730</v>
      </c>
      <c r="E14" s="41">
        <f>'2022.'!M158</f>
        <v>2520</v>
      </c>
      <c r="F14" s="41">
        <f>'2022.'!N158</f>
        <v>5040</v>
      </c>
      <c r="G14" s="42">
        <f>'2022.'!P158</f>
        <v>1026834.0000000001</v>
      </c>
      <c r="I14" s="41">
        <f>'2023.'!F158</f>
        <v>210</v>
      </c>
      <c r="J14" s="41">
        <f>'2023.'!J158</f>
        <v>2798</v>
      </c>
      <c r="K14" s="41">
        <f>'2023.'!L158</f>
        <v>2577</v>
      </c>
      <c r="L14" s="41">
        <f>'2023.'!M158</f>
        <v>5154</v>
      </c>
      <c r="M14" s="42">
        <f>'2023.'!O158</f>
        <v>1065156.1994999999</v>
      </c>
      <c r="O14" s="41">
        <f>'2024.'!F158</f>
        <v>222</v>
      </c>
      <c r="P14" s="41">
        <f>'2024.'!J158</f>
        <v>2869</v>
      </c>
      <c r="Q14" s="41">
        <f>'2024.'!L158</f>
        <v>2634</v>
      </c>
      <c r="R14" s="41">
        <f>'2024.'!M158</f>
        <v>5268</v>
      </c>
      <c r="S14" s="42">
        <f>'2024.'!O158</f>
        <v>1104427.128025</v>
      </c>
      <c r="U14" s="41">
        <f>'2024.'!P158</f>
        <v>235</v>
      </c>
    </row>
    <row r="15" spans="1:21" s="43" customFormat="1" ht="25.75" customHeight="1" x14ac:dyDescent="0.35">
      <c r="A15" s="233" t="s">
        <v>444</v>
      </c>
      <c r="B15" s="233"/>
      <c r="C15" s="41">
        <f>'2022.'!G166</f>
        <v>385</v>
      </c>
      <c r="D15" s="41">
        <f>'2022.'!K166</f>
        <v>2011</v>
      </c>
      <c r="E15" s="41">
        <f>'2022.'!M166</f>
        <v>1622</v>
      </c>
      <c r="F15" s="41">
        <f>'2022.'!N166</f>
        <v>1622</v>
      </c>
      <c r="G15" s="42">
        <f>'2022.'!P166</f>
        <v>240889.16</v>
      </c>
      <c r="I15" s="41">
        <f>'2023.'!F166</f>
        <v>389</v>
      </c>
      <c r="J15" s="41">
        <f>'2023.'!J166</f>
        <v>2061</v>
      </c>
      <c r="K15" s="41">
        <f>'2023.'!L166</f>
        <v>1674</v>
      </c>
      <c r="L15" s="41">
        <f>'2023.'!M166</f>
        <v>1674</v>
      </c>
      <c r="M15" s="42">
        <f>'2023.'!O166</f>
        <v>258284.66599999997</v>
      </c>
      <c r="O15" s="41">
        <f>'2024.'!F166</f>
        <v>386</v>
      </c>
      <c r="P15" s="41">
        <f>'2024.'!J166</f>
        <v>2110</v>
      </c>
      <c r="Q15" s="41">
        <f>'2024.'!L166</f>
        <v>1717</v>
      </c>
      <c r="R15" s="41">
        <f>'2024.'!M166</f>
        <v>1717</v>
      </c>
      <c r="S15" s="42">
        <f>'2024.'!O166</f>
        <v>269927.98283749993</v>
      </c>
      <c r="U15" s="41">
        <f>'2024.'!P166</f>
        <v>393</v>
      </c>
    </row>
    <row r="16" spans="1:21" s="43" customFormat="1" ht="25.75" customHeight="1" x14ac:dyDescent="0.35">
      <c r="A16" s="233" t="s">
        <v>445</v>
      </c>
      <c r="B16" s="233"/>
      <c r="C16" s="41">
        <f>'2022.'!G181</f>
        <v>970</v>
      </c>
      <c r="D16" s="41">
        <f>'2022.'!K181</f>
        <v>3904</v>
      </c>
      <c r="E16" s="41">
        <f>'2022.'!M181</f>
        <v>3002</v>
      </c>
      <c r="F16" s="41">
        <f>'2022.'!N181</f>
        <v>3122</v>
      </c>
      <c r="G16" s="42">
        <f>'2022.'!P181</f>
        <v>1831346.7600000002</v>
      </c>
      <c r="I16" s="41">
        <f>'2023.'!F181</f>
        <v>902</v>
      </c>
      <c r="J16" s="41">
        <f>'2023.'!J181</f>
        <v>4002</v>
      </c>
      <c r="K16" s="41">
        <f>'2023.'!L181</f>
        <v>3233</v>
      </c>
      <c r="L16" s="41">
        <f>'2023.'!M181</f>
        <v>3353</v>
      </c>
      <c r="M16" s="42">
        <f>'2023.'!O181</f>
        <v>1986272.9619999994</v>
      </c>
      <c r="O16" s="41">
        <f>'2024.'!F181</f>
        <v>770</v>
      </c>
      <c r="P16" s="41">
        <f>'2024.'!J181</f>
        <v>4104</v>
      </c>
      <c r="Q16" s="41">
        <f>'2024.'!L181</f>
        <v>3430</v>
      </c>
      <c r="R16" s="41">
        <f>'2024.'!M181</f>
        <v>3550</v>
      </c>
      <c r="S16" s="42">
        <f>'2024.'!O181</f>
        <v>2078616.3646124995</v>
      </c>
      <c r="U16" s="41">
        <f>'2024.'!P181</f>
        <v>674</v>
      </c>
    </row>
    <row r="17" spans="1:21" s="43" customFormat="1" ht="25.75" customHeight="1" x14ac:dyDescent="0.35">
      <c r="A17" s="233" t="s">
        <v>446</v>
      </c>
      <c r="B17" s="233"/>
      <c r="C17" s="41">
        <f>'2022.'!G226</f>
        <v>108</v>
      </c>
      <c r="D17" s="41">
        <f>'2022.'!K226</f>
        <v>252</v>
      </c>
      <c r="E17" s="41">
        <f>'2022.'!M226</f>
        <v>144</v>
      </c>
      <c r="F17" s="41">
        <f>'2022.'!N226</f>
        <v>144</v>
      </c>
      <c r="G17" s="42">
        <f>'2022.'!P226</f>
        <v>3940.8</v>
      </c>
      <c r="I17" s="41">
        <f>'2023.'!F226</f>
        <v>108</v>
      </c>
      <c r="J17" s="41">
        <f>'2023.'!J226</f>
        <v>258</v>
      </c>
      <c r="K17" s="41">
        <f>'2023.'!L226</f>
        <v>144</v>
      </c>
      <c r="L17" s="41">
        <f>'2023.'!M226</f>
        <v>144</v>
      </c>
      <c r="M17" s="42">
        <f>'2023.'!O226</f>
        <v>4039.3199999999997</v>
      </c>
      <c r="O17" s="41">
        <f>'2024.'!F226</f>
        <v>115</v>
      </c>
      <c r="P17" s="41">
        <f>'2024.'!J226</f>
        <v>266</v>
      </c>
      <c r="Q17" s="41">
        <f>'2024.'!L226</f>
        <v>198</v>
      </c>
      <c r="R17" s="41">
        <f>'2024.'!M226</f>
        <v>198</v>
      </c>
      <c r="S17" s="42">
        <f>'2024.'!O226</f>
        <v>4833.0220874999995</v>
      </c>
      <c r="U17" s="41">
        <f>'2024.'!P226</f>
        <v>68</v>
      </c>
    </row>
    <row r="18" spans="1:21" s="43" customFormat="1" ht="25.75" customHeight="1" x14ac:dyDescent="0.35">
      <c r="A18" s="233" t="s">
        <v>447</v>
      </c>
      <c r="B18" s="233"/>
      <c r="C18" s="41">
        <f>'2022.'!G229</f>
        <v>58</v>
      </c>
      <c r="D18" s="41">
        <f>'2022.'!K229</f>
        <v>574</v>
      </c>
      <c r="E18" s="41">
        <f>'2022.'!M229</f>
        <v>514</v>
      </c>
      <c r="F18" s="41">
        <f>'2022.'!N229</f>
        <v>646</v>
      </c>
      <c r="G18" s="42">
        <f>'2022.'!P229</f>
        <v>299896</v>
      </c>
      <c r="I18" s="41">
        <f>'2023.'!F229</f>
        <v>60</v>
      </c>
      <c r="J18" s="41">
        <f>'2023.'!J229</f>
        <v>588</v>
      </c>
      <c r="K18" s="41">
        <f>'2023.'!L229</f>
        <v>516</v>
      </c>
      <c r="L18" s="41">
        <f>'2023.'!M229</f>
        <v>648</v>
      </c>
      <c r="M18" s="42">
        <f>'2023.'!O229</f>
        <v>316208.40000000002</v>
      </c>
      <c r="O18" s="41">
        <f>'2024.'!F229</f>
        <v>73</v>
      </c>
      <c r="P18" s="41">
        <f>'2024.'!J229</f>
        <v>604</v>
      </c>
      <c r="Q18" s="41">
        <f>'2024.'!L229</f>
        <v>516</v>
      </c>
      <c r="R18" s="41">
        <f>'2024.'!M229</f>
        <v>648</v>
      </c>
      <c r="S18" s="42">
        <f>'2024.'!O229</f>
        <v>324113.61</v>
      </c>
      <c r="U18" s="41">
        <f>'2024.'!P229</f>
        <v>88</v>
      </c>
    </row>
    <row r="19" spans="1:21" s="43" customFormat="1" ht="25.75" customHeight="1" x14ac:dyDescent="0.35">
      <c r="A19" s="233" t="s">
        <v>448</v>
      </c>
      <c r="B19" s="233"/>
      <c r="C19" s="41">
        <f>'2022.'!G234</f>
        <v>5</v>
      </c>
      <c r="D19" s="41">
        <f>'2022.'!K234</f>
        <v>41</v>
      </c>
      <c r="E19" s="41">
        <f>'2022.'!M234</f>
        <v>27</v>
      </c>
      <c r="F19" s="41">
        <f>'2022.'!N234</f>
        <v>27</v>
      </c>
      <c r="G19" s="42">
        <f>'2022.'!P234</f>
        <v>15480.769999999999</v>
      </c>
      <c r="I19" s="41">
        <f>'2023.'!F234</f>
        <v>14</v>
      </c>
      <c r="J19" s="41">
        <f>'2023.'!J234</f>
        <v>42</v>
      </c>
      <c r="K19" s="41">
        <f>'2023.'!L234</f>
        <v>36</v>
      </c>
      <c r="L19" s="41">
        <f>'2023.'!M234</f>
        <v>36</v>
      </c>
      <c r="M19" s="42">
        <f>'2023.'!O234</f>
        <v>29293.649249999995</v>
      </c>
      <c r="O19" s="41">
        <f>'2024.'!F234</f>
        <v>5</v>
      </c>
      <c r="P19" s="41">
        <f>'2024.'!J234</f>
        <v>41</v>
      </c>
      <c r="Q19" s="41">
        <f>'2024.'!L234</f>
        <v>36</v>
      </c>
      <c r="R19" s="41">
        <f>'2024.'!M234</f>
        <v>36</v>
      </c>
      <c r="S19" s="42">
        <f>'2024.'!O234</f>
        <v>30025.990481249995</v>
      </c>
      <c r="U19" s="41">
        <f>'2024.'!P234</f>
        <v>5</v>
      </c>
    </row>
    <row r="20" spans="1:21" s="43" customFormat="1" ht="25.75" customHeight="1" x14ac:dyDescent="0.35">
      <c r="A20" s="233" t="s">
        <v>449</v>
      </c>
      <c r="B20" s="233"/>
      <c r="C20" s="41">
        <f>'2022.'!G244</f>
        <v>20</v>
      </c>
      <c r="D20" s="41">
        <f>'2022.'!K244</f>
        <v>116</v>
      </c>
      <c r="E20" s="41">
        <f>'2022.'!M244</f>
        <v>96</v>
      </c>
      <c r="F20" s="41">
        <f>'2022.'!N244</f>
        <v>96</v>
      </c>
      <c r="G20" s="42">
        <f>'2022.'!P244</f>
        <v>528</v>
      </c>
      <c r="I20" s="41">
        <f>'2023.'!F244</f>
        <v>20</v>
      </c>
      <c r="J20" s="41">
        <f>'2023.'!J244</f>
        <v>119</v>
      </c>
      <c r="K20" s="41">
        <f>'2023.'!L244</f>
        <v>96</v>
      </c>
      <c r="L20" s="41">
        <f>'2023.'!M244</f>
        <v>96</v>
      </c>
      <c r="M20" s="42">
        <f>'2023.'!O244</f>
        <v>541.19999999999993</v>
      </c>
      <c r="O20" s="41">
        <f>'2024.'!F244</f>
        <v>23</v>
      </c>
      <c r="P20" s="41">
        <f>'2024.'!J244</f>
        <v>122</v>
      </c>
      <c r="Q20" s="41">
        <f>'2024.'!L244</f>
        <v>96</v>
      </c>
      <c r="R20" s="41">
        <f>'2024.'!M244</f>
        <v>96</v>
      </c>
      <c r="S20" s="42">
        <f>'2024.'!O244</f>
        <v>554.7299999999999</v>
      </c>
      <c r="U20" s="41">
        <f>'2024.'!P244</f>
        <v>26</v>
      </c>
    </row>
    <row r="21" spans="1:21" s="43" customFormat="1" ht="19.75" customHeight="1" x14ac:dyDescent="0.35">
      <c r="A21" s="229" t="s">
        <v>438</v>
      </c>
      <c r="B21" s="229"/>
      <c r="C21" s="97">
        <f>C7+C8+C9+C13+C14+C15+C16+C17+C18+C19+C20</f>
        <v>2255</v>
      </c>
      <c r="D21" s="47">
        <f>D7+D8+D9+D13+D14+D15+D16+D17+D18+D19+D20</f>
        <v>18268</v>
      </c>
      <c r="E21" s="47">
        <f>E7+E8+E9+E13+E14+E15+E16+E17+E18+E19+E20</f>
        <v>16013</v>
      </c>
      <c r="F21" s="47">
        <f>F7+F8+F9+F13+F14+F15+F16+F17+F18+F19+F20</f>
        <v>20472</v>
      </c>
      <c r="G21" s="48">
        <f>G7+G8+G9+G13+G14+G15+G16+G17+G18+G19+G20</f>
        <v>7775712.9779999992</v>
      </c>
      <c r="I21" s="97">
        <f>I7+I8+I9+I13+I14+I15+I16+I17+I18+I19+I20</f>
        <v>2255</v>
      </c>
      <c r="J21" s="47">
        <f>J7+J8+J9+J13+J14+J15+J16+J17+J18+J19+J20</f>
        <v>18723</v>
      </c>
      <c r="K21" s="47">
        <f>K7+K8+K9+K13+K14+K15+K16+K17+K18+K19+K20</f>
        <v>16459</v>
      </c>
      <c r="L21" s="47">
        <f>L7+L8+L9+L13+L14+L15+L16+L17+L18+L19+L20</f>
        <v>20958</v>
      </c>
      <c r="M21" s="48">
        <f t="shared" ref="M21" si="5">M7+M8+M9+M13+M14+M15+M16+M17+M18+M19+M20</f>
        <v>8148432.8883187501</v>
      </c>
      <c r="O21" s="97">
        <f>O7+O8+O9+O13+O14+O15+O16+O17+O18+O19+O20</f>
        <v>2255</v>
      </c>
      <c r="P21" s="47">
        <f t="shared" ref="P21" si="6">P7+P8+P9+P13+P14+P15+P16+P17+P18+P19+P20</f>
        <v>19167</v>
      </c>
      <c r="Q21" s="47">
        <f t="shared" ref="Q21:R21" si="7">Q7+Q8+Q9+Q13+Q14+Q15+Q16+Q17+Q18+Q19+Q20</f>
        <v>16912</v>
      </c>
      <c r="R21" s="47">
        <f t="shared" si="7"/>
        <v>21489</v>
      </c>
      <c r="S21" s="48">
        <f t="shared" ref="S21:U21" si="8">S7+S8+S9+S13+S14+S15+S16+S17+S18+S19+S20</f>
        <v>8425380.4403228108</v>
      </c>
      <c r="U21" s="97">
        <f t="shared" si="8"/>
        <v>2255</v>
      </c>
    </row>
    <row r="22" spans="1:21" ht="13.25" customHeight="1" x14ac:dyDescent="0.3">
      <c r="G22" s="49"/>
      <c r="M22" s="49"/>
      <c r="S22" s="49"/>
      <c r="T22" s="50"/>
    </row>
    <row r="23" spans="1:21" s="43" customFormat="1" ht="19.75" customHeight="1" x14ac:dyDescent="0.3">
      <c r="A23" s="30"/>
      <c r="B23" s="32"/>
      <c r="C23" s="246" t="s">
        <v>468</v>
      </c>
      <c r="D23" s="247"/>
      <c r="E23" s="247"/>
      <c r="F23" s="248"/>
      <c r="G23" s="51">
        <v>3552147</v>
      </c>
      <c r="I23" s="243" t="s">
        <v>469</v>
      </c>
      <c r="J23" s="244"/>
      <c r="K23" s="244"/>
      <c r="L23" s="245"/>
      <c r="M23" s="51">
        <f>G23</f>
        <v>3552147</v>
      </c>
      <c r="O23" s="243" t="s">
        <v>470</v>
      </c>
      <c r="P23" s="244"/>
      <c r="Q23" s="244"/>
      <c r="R23" s="245"/>
      <c r="S23" s="51">
        <f>M23</f>
        <v>3552147</v>
      </c>
      <c r="T23" s="52"/>
      <c r="U23" s="2"/>
    </row>
    <row r="24" spans="1:21" ht="13.25" customHeight="1" x14ac:dyDescent="0.3">
      <c r="G24" s="49"/>
      <c r="M24" s="49"/>
      <c r="S24" s="49"/>
      <c r="T24" s="53"/>
    </row>
    <row r="25" spans="1:21" s="103" customFormat="1" ht="34.25" customHeight="1" x14ac:dyDescent="0.3">
      <c r="A25" s="98"/>
      <c r="B25" s="99"/>
      <c r="C25" s="249" t="s">
        <v>471</v>
      </c>
      <c r="D25" s="250"/>
      <c r="E25" s="250"/>
      <c r="F25" s="251"/>
      <c r="G25" s="100">
        <f>G21-G23</f>
        <v>4223565.9779999992</v>
      </c>
      <c r="H25" s="101"/>
      <c r="I25" s="249" t="s">
        <v>472</v>
      </c>
      <c r="J25" s="250"/>
      <c r="K25" s="250"/>
      <c r="L25" s="251"/>
      <c r="M25" s="100">
        <f>M21-M23</f>
        <v>4596285.8883187501</v>
      </c>
      <c r="N25" s="101"/>
      <c r="O25" s="249" t="s">
        <v>473</v>
      </c>
      <c r="P25" s="250"/>
      <c r="Q25" s="250"/>
      <c r="R25" s="251"/>
      <c r="S25" s="100">
        <f>S21-S23</f>
        <v>4873233.4403228108</v>
      </c>
      <c r="T25" s="102"/>
      <c r="U25" s="66"/>
    </row>
    <row r="26" spans="1:21" x14ac:dyDescent="0.3">
      <c r="T26" s="50"/>
    </row>
    <row r="27" spans="1:21" s="106" customFormat="1" ht="44.4" customHeight="1" x14ac:dyDescent="0.3">
      <c r="A27" s="104"/>
      <c r="B27" s="242" t="s">
        <v>540</v>
      </c>
      <c r="C27" s="242"/>
      <c r="D27" s="242"/>
      <c r="E27" s="242"/>
      <c r="F27" s="242"/>
      <c r="G27" s="105">
        <f>KOPĀ!F8</f>
        <v>839500</v>
      </c>
      <c r="M27" s="105">
        <f>G27</f>
        <v>839500</v>
      </c>
      <c r="S27" s="105">
        <f>M27</f>
        <v>839500</v>
      </c>
      <c r="T27" s="107"/>
    </row>
    <row r="28" spans="1:21" ht="27" customHeight="1" x14ac:dyDescent="0.3">
      <c r="B28" s="252" t="s">
        <v>532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</row>
    <row r="29" spans="1:21" s="60" customFormat="1" ht="34.25" customHeight="1" x14ac:dyDescent="0.3">
      <c r="A29" s="54"/>
      <c r="B29" s="55"/>
      <c r="C29" s="239" t="s">
        <v>489</v>
      </c>
      <c r="D29" s="240"/>
      <c r="E29" s="240"/>
      <c r="F29" s="241"/>
      <c r="G29" s="56">
        <f>G25-G27</f>
        <v>3384065.9779999992</v>
      </c>
      <c r="H29" s="57"/>
      <c r="I29" s="239" t="s">
        <v>490</v>
      </c>
      <c r="J29" s="240"/>
      <c r="K29" s="240"/>
      <c r="L29" s="241"/>
      <c r="M29" s="56">
        <f>M25-M27</f>
        <v>3756785.8883187501</v>
      </c>
      <c r="N29" s="57"/>
      <c r="O29" s="239" t="s">
        <v>491</v>
      </c>
      <c r="P29" s="240"/>
      <c r="Q29" s="240"/>
      <c r="R29" s="241"/>
      <c r="S29" s="56">
        <f>S25-S27</f>
        <v>4033733.4403228108</v>
      </c>
      <c r="T29" s="58"/>
      <c r="U29" s="59"/>
    </row>
    <row r="31" spans="1:21" x14ac:dyDescent="0.3">
      <c r="A31" s="194" t="s">
        <v>535</v>
      </c>
    </row>
    <row r="32" spans="1:21" x14ac:dyDescent="0.3">
      <c r="A32" s="195" t="s">
        <v>536</v>
      </c>
    </row>
    <row r="33" spans="1:1" x14ac:dyDescent="0.3">
      <c r="A33" s="195" t="s">
        <v>537</v>
      </c>
    </row>
    <row r="34" spans="1:1" x14ac:dyDescent="0.3">
      <c r="A34" s="195" t="s">
        <v>538</v>
      </c>
    </row>
    <row r="35" spans="1:1" ht="14.5" x14ac:dyDescent="0.3">
      <c r="A35" s="196" t="s">
        <v>539</v>
      </c>
    </row>
  </sheetData>
  <mergeCells count="34">
    <mergeCell ref="C29:F29"/>
    <mergeCell ref="I29:L29"/>
    <mergeCell ref="O29:R29"/>
    <mergeCell ref="B27:F27"/>
    <mergeCell ref="O23:R23"/>
    <mergeCell ref="C23:F23"/>
    <mergeCell ref="C25:F25"/>
    <mergeCell ref="I25:L25"/>
    <mergeCell ref="O25:R25"/>
    <mergeCell ref="I23:L23"/>
    <mergeCell ref="B28:S28"/>
    <mergeCell ref="A1:U1"/>
    <mergeCell ref="A2:U2"/>
    <mergeCell ref="A3:U3"/>
    <mergeCell ref="I4:M4"/>
    <mergeCell ref="O4:S4"/>
    <mergeCell ref="A4:A5"/>
    <mergeCell ref="B4:B5"/>
    <mergeCell ref="A21:B21"/>
    <mergeCell ref="C4:G4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7:B7"/>
    <mergeCell ref="A8:B8"/>
  </mergeCells>
  <hyperlinks>
    <hyperlink ref="A35" r:id="rId1" display="mailto:Sandra.Strele@lm.gov.lv" xr:uid="{D4E1C1DD-628C-4E93-B2DD-967A8BDF8800}"/>
  </hyperlinks>
  <pageMargins left="0.51181102362204722" right="0.51181102362204722" top="0.94488188976377963" bottom="0.74803149606299213" header="0.31496062992125984" footer="0.31496062992125984"/>
  <pageSetup scale="5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66F5-94E9-42CD-B07F-DB788C8B49EB}">
  <dimension ref="A1:R254"/>
  <sheetViews>
    <sheetView zoomScale="80" zoomScaleNormal="80" workbookViewId="0">
      <pane xSplit="6" ySplit="6" topLeftCell="G205" activePane="bottomRight" state="frozen"/>
      <selection pane="topRight" activeCell="I1" sqref="I1"/>
      <selection pane="bottomLeft" activeCell="A6" sqref="A6"/>
      <selection pane="bottomRight" activeCell="M252" sqref="M252"/>
    </sheetView>
  </sheetViews>
  <sheetFormatPr defaultColWidth="8.90625" defaultRowHeight="13" x14ac:dyDescent="0.3"/>
  <cols>
    <col min="1" max="1" width="8.90625" style="30"/>
    <col min="2" max="2" width="6" style="30" customWidth="1"/>
    <col min="3" max="3" width="9.6328125" style="31" hidden="1" customWidth="1"/>
    <col min="4" max="4" width="49.1796875" style="32" customWidth="1"/>
    <col min="5" max="5" width="10.90625" style="33" customWidth="1"/>
    <col min="6" max="6" width="9.36328125" style="34" customWidth="1"/>
    <col min="7" max="7" width="10.54296875" style="49" customWidth="1"/>
    <col min="8" max="15" width="10.54296875" style="2" customWidth="1"/>
    <col min="16" max="16" width="15.1796875" style="2" customWidth="1"/>
    <col min="17" max="18" width="10.08984375" style="2" customWidth="1"/>
    <col min="19" max="16384" width="8.90625" style="2"/>
  </cols>
  <sheetData>
    <row r="1" spans="1:18" x14ac:dyDescent="0.3">
      <c r="A1" s="235" t="s">
        <v>527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x14ac:dyDescent="0.3">
      <c r="A2" s="235" t="s">
        <v>463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 ht="15.5" x14ac:dyDescent="0.3">
      <c r="A3" s="236" t="s">
        <v>464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18" ht="31.75" customHeight="1" x14ac:dyDescent="0.3">
      <c r="A4" s="256" t="s">
        <v>0</v>
      </c>
      <c r="B4" s="256"/>
      <c r="C4" s="256"/>
      <c r="D4" s="255" t="s">
        <v>1</v>
      </c>
      <c r="E4" s="255" t="s">
        <v>2</v>
      </c>
      <c r="F4" s="255" t="s">
        <v>3</v>
      </c>
      <c r="G4" s="253" t="s">
        <v>415</v>
      </c>
      <c r="H4" s="253"/>
      <c r="I4" s="253" t="s">
        <v>416</v>
      </c>
      <c r="J4" s="253"/>
      <c r="K4" s="253" t="s">
        <v>417</v>
      </c>
      <c r="L4" s="253"/>
      <c r="M4" s="253" t="s">
        <v>418</v>
      </c>
      <c r="N4" s="253"/>
      <c r="O4" s="258" t="s">
        <v>425</v>
      </c>
      <c r="P4" s="253" t="s">
        <v>419</v>
      </c>
      <c r="Q4" s="253" t="s">
        <v>420</v>
      </c>
      <c r="R4" s="253"/>
    </row>
    <row r="5" spans="1:18" ht="114" customHeight="1" x14ac:dyDescent="0.3">
      <c r="A5" s="256"/>
      <c r="B5" s="256"/>
      <c r="C5" s="256"/>
      <c r="D5" s="255"/>
      <c r="E5" s="255"/>
      <c r="F5" s="255"/>
      <c r="G5" s="67" t="s">
        <v>474</v>
      </c>
      <c r="H5" s="4" t="s">
        <v>478</v>
      </c>
      <c r="I5" s="3" t="s">
        <v>475</v>
      </c>
      <c r="J5" s="5" t="s">
        <v>476</v>
      </c>
      <c r="K5" s="6" t="s">
        <v>421</v>
      </c>
      <c r="L5" s="6" t="s">
        <v>422</v>
      </c>
      <c r="M5" s="7" t="s">
        <v>423</v>
      </c>
      <c r="N5" s="6" t="s">
        <v>424</v>
      </c>
      <c r="O5" s="258"/>
      <c r="P5" s="253"/>
      <c r="Q5" s="5" t="s">
        <v>474</v>
      </c>
      <c r="R5" s="5" t="s">
        <v>477</v>
      </c>
    </row>
    <row r="6" spans="1:18" s="11" customFormat="1" ht="10.5" x14ac:dyDescent="0.25">
      <c r="A6" s="8">
        <v>1</v>
      </c>
      <c r="B6" s="8">
        <v>2</v>
      </c>
      <c r="C6" s="8" t="s">
        <v>427</v>
      </c>
      <c r="D6" s="10">
        <v>3</v>
      </c>
      <c r="E6" s="9">
        <v>4</v>
      </c>
      <c r="F6" s="9">
        <v>5</v>
      </c>
      <c r="G6" s="68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</row>
    <row r="7" spans="1:18" s="15" customFormat="1" ht="15" customHeight="1" x14ac:dyDescent="0.3">
      <c r="A7" s="254" t="s">
        <v>402</v>
      </c>
      <c r="B7" s="254"/>
      <c r="C7" s="254"/>
      <c r="D7" s="254"/>
      <c r="E7" s="254"/>
      <c r="F7" s="254"/>
      <c r="G7" s="12">
        <f>SUM(G8:G13)</f>
        <v>78</v>
      </c>
      <c r="H7" s="12">
        <f t="shared" ref="H7:M7" si="0">SUM(H8:H13)</f>
        <v>78</v>
      </c>
      <c r="I7" s="12">
        <f t="shared" si="0"/>
        <v>228.16666666666666</v>
      </c>
      <c r="J7" s="12">
        <f t="shared" si="0"/>
        <v>228.16666666666666</v>
      </c>
      <c r="K7" s="12">
        <f t="shared" si="0"/>
        <v>2816</v>
      </c>
      <c r="L7" s="12">
        <f t="shared" si="0"/>
        <v>2816</v>
      </c>
      <c r="M7" s="12">
        <f t="shared" si="0"/>
        <v>2736</v>
      </c>
      <c r="N7" s="12">
        <f>IF(G7=0,M7,M7*(H7/G7))</f>
        <v>2736</v>
      </c>
      <c r="O7" s="1" t="s">
        <v>426</v>
      </c>
      <c r="P7" s="14">
        <f>SUM(P8:P13)</f>
        <v>1202295</v>
      </c>
      <c r="Q7" s="12">
        <f t="shared" ref="Q7:R7" si="1">SUM(Q8:Q13)</f>
        <v>80</v>
      </c>
      <c r="R7" s="12">
        <f t="shared" si="1"/>
        <v>80</v>
      </c>
    </row>
    <row r="8" spans="1:18" ht="25.75" customHeight="1" x14ac:dyDescent="0.3">
      <c r="A8" s="16">
        <v>1</v>
      </c>
      <c r="B8" s="17">
        <v>1</v>
      </c>
      <c r="C8" s="18" t="s">
        <v>4</v>
      </c>
      <c r="D8" s="19" t="s">
        <v>5</v>
      </c>
      <c r="E8" s="20" t="s">
        <v>6</v>
      </c>
      <c r="F8" s="20">
        <v>8</v>
      </c>
      <c r="G8" s="110">
        <v>1</v>
      </c>
      <c r="H8" s="111">
        <v>1</v>
      </c>
      <c r="I8" s="110">
        <v>0.5</v>
      </c>
      <c r="J8" s="112">
        <f t="shared" ref="J8:J71" si="2">IF(G8=0,I8,I8*(H8/G8))</f>
        <v>0.5</v>
      </c>
      <c r="K8" s="113">
        <f>G8+(I8*12)</f>
        <v>7</v>
      </c>
      <c r="L8" s="113">
        <f t="shared" ref="L8:L71" si="3">H8+(J8*12)</f>
        <v>7</v>
      </c>
      <c r="M8" s="110">
        <v>4</v>
      </c>
      <c r="N8" s="112">
        <f t="shared" ref="N8:N71" si="4">IF(G8=0,M8,M8*(H8/G8))</f>
        <v>4</v>
      </c>
      <c r="O8" s="61">
        <v>631.67999999999995</v>
      </c>
      <c r="P8" s="21">
        <f t="shared" ref="P8:P71" si="5">O8*N8</f>
        <v>2526.7199999999998</v>
      </c>
      <c r="Q8" s="128">
        <f t="shared" ref="Q8:Q71" si="6">K8-M8</f>
        <v>3</v>
      </c>
      <c r="R8" s="128">
        <f t="shared" ref="R8:R71" si="7">L8-N8</f>
        <v>3</v>
      </c>
    </row>
    <row r="9" spans="1:18" ht="25.75" customHeight="1" thickBot="1" x14ac:dyDescent="0.35">
      <c r="A9" s="73">
        <v>2</v>
      </c>
      <c r="B9" s="74">
        <v>1</v>
      </c>
      <c r="C9" s="75" t="s">
        <v>7</v>
      </c>
      <c r="D9" s="76" t="s">
        <v>8</v>
      </c>
      <c r="E9" s="77" t="s">
        <v>6</v>
      </c>
      <c r="F9" s="77">
        <v>8</v>
      </c>
      <c r="G9" s="114">
        <v>5</v>
      </c>
      <c r="H9" s="115">
        <v>5</v>
      </c>
      <c r="I9" s="114">
        <v>25</v>
      </c>
      <c r="J9" s="116">
        <f t="shared" si="2"/>
        <v>25</v>
      </c>
      <c r="K9" s="117">
        <f t="shared" ref="K9:K71" si="8">G9+(I9*12)</f>
        <v>305</v>
      </c>
      <c r="L9" s="117">
        <f t="shared" si="3"/>
        <v>305</v>
      </c>
      <c r="M9" s="114">
        <v>300</v>
      </c>
      <c r="N9" s="116">
        <f t="shared" si="4"/>
        <v>300</v>
      </c>
      <c r="O9" s="78">
        <v>812.88</v>
      </c>
      <c r="P9" s="79">
        <f t="shared" si="5"/>
        <v>243864</v>
      </c>
      <c r="Q9" s="129">
        <f t="shared" si="6"/>
        <v>5</v>
      </c>
      <c r="R9" s="129">
        <f t="shared" si="7"/>
        <v>5</v>
      </c>
    </row>
    <row r="10" spans="1:18" s="66" customFormat="1" ht="25.75" customHeight="1" thickBot="1" x14ac:dyDescent="0.35">
      <c r="A10" s="86">
        <v>3</v>
      </c>
      <c r="B10" s="87">
        <v>1</v>
      </c>
      <c r="C10" s="88">
        <v>3</v>
      </c>
      <c r="D10" s="88" t="s">
        <v>9</v>
      </c>
      <c r="E10" s="89" t="s">
        <v>10</v>
      </c>
      <c r="F10" s="89">
        <v>8</v>
      </c>
      <c r="G10" s="118">
        <v>0</v>
      </c>
      <c r="H10" s="119">
        <v>0</v>
      </c>
      <c r="I10" s="118">
        <f>1000/12</f>
        <v>83.333333333333329</v>
      </c>
      <c r="J10" s="120">
        <f t="shared" si="2"/>
        <v>83.333333333333329</v>
      </c>
      <c r="K10" s="121">
        <f t="shared" si="8"/>
        <v>1000</v>
      </c>
      <c r="L10" s="121">
        <f t="shared" si="3"/>
        <v>1000</v>
      </c>
      <c r="M10" s="118">
        <v>1000</v>
      </c>
      <c r="N10" s="120">
        <f>IF(G10=0,M10,M10*(H10/G10))</f>
        <v>1000</v>
      </c>
      <c r="O10" s="90">
        <f>1.9*1.21*365</f>
        <v>839.13499999999999</v>
      </c>
      <c r="P10" s="91">
        <f t="shared" si="5"/>
        <v>839135</v>
      </c>
      <c r="Q10" s="130">
        <f t="shared" si="6"/>
        <v>0</v>
      </c>
      <c r="R10" s="131">
        <f t="shared" si="7"/>
        <v>0</v>
      </c>
    </row>
    <row r="11" spans="1:18" ht="15" customHeight="1" x14ac:dyDescent="0.3">
      <c r="A11" s="80">
        <v>4</v>
      </c>
      <c r="B11" s="81">
        <v>1</v>
      </c>
      <c r="C11" s="82">
        <v>4</v>
      </c>
      <c r="D11" s="82" t="s">
        <v>11</v>
      </c>
      <c r="E11" s="83" t="s">
        <v>10</v>
      </c>
      <c r="F11" s="83">
        <v>5</v>
      </c>
      <c r="G11" s="122">
        <v>0</v>
      </c>
      <c r="H11" s="123">
        <v>0</v>
      </c>
      <c r="I11" s="122">
        <f>I10</f>
        <v>83.333333333333329</v>
      </c>
      <c r="J11" s="124">
        <f t="shared" si="2"/>
        <v>83.333333333333329</v>
      </c>
      <c r="K11" s="125">
        <f t="shared" si="8"/>
        <v>1000</v>
      </c>
      <c r="L11" s="125">
        <f t="shared" si="3"/>
        <v>1000</v>
      </c>
      <c r="M11" s="122">
        <f>M10</f>
        <v>1000</v>
      </c>
      <c r="N11" s="124">
        <f t="shared" si="4"/>
        <v>1000</v>
      </c>
      <c r="O11" s="84">
        <v>40</v>
      </c>
      <c r="P11" s="85">
        <f t="shared" si="5"/>
        <v>40000</v>
      </c>
      <c r="Q11" s="132">
        <f t="shared" si="6"/>
        <v>0</v>
      </c>
      <c r="R11" s="132">
        <f t="shared" si="7"/>
        <v>0</v>
      </c>
    </row>
    <row r="12" spans="1:18" ht="15" customHeight="1" x14ac:dyDescent="0.3">
      <c r="A12" s="16">
        <v>5</v>
      </c>
      <c r="B12" s="17">
        <v>1</v>
      </c>
      <c r="C12" s="18" t="s">
        <v>12</v>
      </c>
      <c r="D12" s="19" t="s">
        <v>13</v>
      </c>
      <c r="E12" s="20" t="s">
        <v>6</v>
      </c>
      <c r="F12" s="20">
        <v>2</v>
      </c>
      <c r="G12" s="110">
        <v>32</v>
      </c>
      <c r="H12" s="111">
        <v>32</v>
      </c>
      <c r="I12" s="110">
        <v>17</v>
      </c>
      <c r="J12" s="112">
        <f t="shared" si="2"/>
        <v>17</v>
      </c>
      <c r="K12" s="113">
        <f t="shared" si="8"/>
        <v>236</v>
      </c>
      <c r="L12" s="113">
        <f t="shared" si="3"/>
        <v>236</v>
      </c>
      <c r="M12" s="110">
        <v>204</v>
      </c>
      <c r="N12" s="112">
        <f t="shared" si="4"/>
        <v>204</v>
      </c>
      <c r="O12" s="61">
        <v>163.52000000000001</v>
      </c>
      <c r="P12" s="21">
        <f t="shared" si="5"/>
        <v>33358.080000000002</v>
      </c>
      <c r="Q12" s="128">
        <f t="shared" si="6"/>
        <v>32</v>
      </c>
      <c r="R12" s="128">
        <f t="shared" si="7"/>
        <v>32</v>
      </c>
    </row>
    <row r="13" spans="1:18" ht="15" customHeight="1" x14ac:dyDescent="0.3">
      <c r="A13" s="16">
        <v>6</v>
      </c>
      <c r="B13" s="17">
        <v>1</v>
      </c>
      <c r="C13" s="18" t="s">
        <v>411</v>
      </c>
      <c r="D13" s="19" t="s">
        <v>14</v>
      </c>
      <c r="E13" s="20" t="s">
        <v>6</v>
      </c>
      <c r="F13" s="20">
        <v>5</v>
      </c>
      <c r="G13" s="110">
        <v>40</v>
      </c>
      <c r="H13" s="111">
        <v>40</v>
      </c>
      <c r="I13" s="110">
        <v>19</v>
      </c>
      <c r="J13" s="112">
        <f t="shared" si="2"/>
        <v>19</v>
      </c>
      <c r="K13" s="113">
        <f t="shared" si="8"/>
        <v>268</v>
      </c>
      <c r="L13" s="113">
        <f t="shared" si="3"/>
        <v>268</v>
      </c>
      <c r="M13" s="110">
        <v>228</v>
      </c>
      <c r="N13" s="112">
        <f t="shared" si="4"/>
        <v>228</v>
      </c>
      <c r="O13" s="61">
        <v>190.4</v>
      </c>
      <c r="P13" s="21">
        <f t="shared" si="5"/>
        <v>43411.200000000004</v>
      </c>
      <c r="Q13" s="128">
        <f t="shared" si="6"/>
        <v>40</v>
      </c>
      <c r="R13" s="128">
        <f t="shared" si="7"/>
        <v>40</v>
      </c>
    </row>
    <row r="14" spans="1:18" s="15" customFormat="1" ht="15" customHeight="1" x14ac:dyDescent="0.3">
      <c r="A14" s="254" t="s">
        <v>15</v>
      </c>
      <c r="B14" s="254"/>
      <c r="C14" s="254"/>
      <c r="D14" s="254"/>
      <c r="E14" s="254"/>
      <c r="F14" s="254"/>
      <c r="G14" s="12">
        <f>SUM(G15)</f>
        <v>5</v>
      </c>
      <c r="H14" s="12">
        <f t="shared" ref="H14:M14" si="9">SUM(H15)</f>
        <v>5</v>
      </c>
      <c r="I14" s="12">
        <f t="shared" si="9"/>
        <v>2</v>
      </c>
      <c r="J14" s="12">
        <f t="shared" si="9"/>
        <v>2</v>
      </c>
      <c r="K14" s="12">
        <f t="shared" si="9"/>
        <v>29</v>
      </c>
      <c r="L14" s="12">
        <f t="shared" si="9"/>
        <v>29</v>
      </c>
      <c r="M14" s="12">
        <f t="shared" si="9"/>
        <v>24</v>
      </c>
      <c r="N14" s="12">
        <f t="shared" ref="N14" si="10">SUM(N15)</f>
        <v>24</v>
      </c>
      <c r="O14" s="1" t="s">
        <v>426</v>
      </c>
      <c r="P14" s="14">
        <f>SUM(P15:P15)</f>
        <v>66017.279999999999</v>
      </c>
      <c r="Q14" s="12">
        <f>SUM(Q15)</f>
        <v>5</v>
      </c>
      <c r="R14" s="12">
        <f t="shared" ref="R14" si="11">SUM(R15)</f>
        <v>5</v>
      </c>
    </row>
    <row r="15" spans="1:18" ht="15" customHeight="1" x14ac:dyDescent="0.3">
      <c r="A15" s="16">
        <v>7</v>
      </c>
      <c r="B15" s="17">
        <v>2</v>
      </c>
      <c r="C15" s="18" t="s">
        <v>16</v>
      </c>
      <c r="D15" s="19" t="s">
        <v>17</v>
      </c>
      <c r="E15" s="20" t="s">
        <v>10</v>
      </c>
      <c r="F15" s="20">
        <v>3</v>
      </c>
      <c r="G15" s="110">
        <v>5</v>
      </c>
      <c r="H15" s="111">
        <v>5</v>
      </c>
      <c r="I15" s="110">
        <v>2</v>
      </c>
      <c r="J15" s="112">
        <f t="shared" si="2"/>
        <v>2</v>
      </c>
      <c r="K15" s="113">
        <f t="shared" si="8"/>
        <v>29</v>
      </c>
      <c r="L15" s="113">
        <f t="shared" si="3"/>
        <v>29</v>
      </c>
      <c r="M15" s="110">
        <v>24</v>
      </c>
      <c r="N15" s="112">
        <f t="shared" si="4"/>
        <v>24</v>
      </c>
      <c r="O15" s="61">
        <v>2750.72</v>
      </c>
      <c r="P15" s="21">
        <f t="shared" si="5"/>
        <v>66017.279999999999</v>
      </c>
      <c r="Q15" s="128">
        <f t="shared" si="6"/>
        <v>5</v>
      </c>
      <c r="R15" s="128">
        <f t="shared" si="7"/>
        <v>5</v>
      </c>
    </row>
    <row r="16" spans="1:18" s="15" customFormat="1" ht="15" customHeight="1" x14ac:dyDescent="0.3">
      <c r="A16" s="254" t="s">
        <v>18</v>
      </c>
      <c r="B16" s="254"/>
      <c r="C16" s="254"/>
      <c r="D16" s="254"/>
      <c r="E16" s="254"/>
      <c r="F16" s="254"/>
      <c r="G16" s="12">
        <f>G17+G88+G114</f>
        <v>346</v>
      </c>
      <c r="H16" s="12">
        <f t="shared" ref="H16:R16" si="12">H17+H88+H114</f>
        <v>488</v>
      </c>
      <c r="I16" s="12">
        <f t="shared" si="12"/>
        <v>379.25</v>
      </c>
      <c r="J16" s="12">
        <f t="shared" si="12"/>
        <v>515.08333333333326</v>
      </c>
      <c r="K16" s="12">
        <f t="shared" si="12"/>
        <v>4897</v>
      </c>
      <c r="L16" s="12">
        <f t="shared" si="12"/>
        <v>6669</v>
      </c>
      <c r="M16" s="12">
        <f t="shared" si="12"/>
        <v>4511</v>
      </c>
      <c r="N16" s="12">
        <f t="shared" si="12"/>
        <v>6149</v>
      </c>
      <c r="O16" s="1" t="s">
        <v>426</v>
      </c>
      <c r="P16" s="14">
        <f t="shared" si="12"/>
        <v>1795506.9379999996</v>
      </c>
      <c r="Q16" s="12">
        <f>Q17+Q88+Q114</f>
        <v>386</v>
      </c>
      <c r="R16" s="12">
        <f t="shared" si="12"/>
        <v>520</v>
      </c>
    </row>
    <row r="17" spans="1:18" s="15" customFormat="1" ht="15" customHeight="1" x14ac:dyDescent="0.3">
      <c r="A17" s="257" t="s">
        <v>403</v>
      </c>
      <c r="B17" s="257"/>
      <c r="C17" s="257"/>
      <c r="D17" s="257"/>
      <c r="E17" s="257"/>
      <c r="F17" s="257"/>
      <c r="G17" s="126">
        <f>SUM(G18:G87)</f>
        <v>122</v>
      </c>
      <c r="H17" s="126">
        <f t="shared" ref="H17:R17" si="13">SUM(H18:H87)</f>
        <v>154</v>
      </c>
      <c r="I17" s="126">
        <f t="shared" si="13"/>
        <v>124.75</v>
      </c>
      <c r="J17" s="126">
        <f t="shared" si="13"/>
        <v>150.58333333333331</v>
      </c>
      <c r="K17" s="126">
        <f t="shared" si="13"/>
        <v>1619</v>
      </c>
      <c r="L17" s="126">
        <f t="shared" si="13"/>
        <v>1961</v>
      </c>
      <c r="M17" s="126">
        <f t="shared" si="13"/>
        <v>1484</v>
      </c>
      <c r="N17" s="126">
        <f t="shared" ref="N17" si="14">SUM(N18:N87)</f>
        <v>1802</v>
      </c>
      <c r="O17" s="71" t="s">
        <v>426</v>
      </c>
      <c r="P17" s="25">
        <f t="shared" si="13"/>
        <v>1014518.1554999998</v>
      </c>
      <c r="Q17" s="126">
        <f>SUM(Q18:Q87)</f>
        <v>135</v>
      </c>
      <c r="R17" s="126">
        <f t="shared" si="13"/>
        <v>159</v>
      </c>
    </row>
    <row r="18" spans="1:18" ht="15" customHeight="1" x14ac:dyDescent="0.3">
      <c r="A18" s="16">
        <v>8</v>
      </c>
      <c r="B18" s="17" t="s">
        <v>408</v>
      </c>
      <c r="C18" s="18" t="s">
        <v>19</v>
      </c>
      <c r="D18" s="19" t="s">
        <v>20</v>
      </c>
      <c r="E18" s="20" t="s">
        <v>6</v>
      </c>
      <c r="F18" s="20">
        <v>2</v>
      </c>
      <c r="G18" s="110">
        <v>1</v>
      </c>
      <c r="H18" s="111">
        <v>1</v>
      </c>
      <c r="I18" s="108">
        <v>0.25</v>
      </c>
      <c r="J18" s="109">
        <f t="shared" si="2"/>
        <v>0.25</v>
      </c>
      <c r="K18" s="113">
        <f>G18+(I18*12)</f>
        <v>4</v>
      </c>
      <c r="L18" s="113">
        <f t="shared" si="3"/>
        <v>4</v>
      </c>
      <c r="M18" s="110">
        <v>2</v>
      </c>
      <c r="N18" s="112">
        <f t="shared" si="4"/>
        <v>2</v>
      </c>
      <c r="O18" s="61">
        <f>103.86*1.275</f>
        <v>132.42149999999998</v>
      </c>
      <c r="P18" s="21">
        <f t="shared" si="5"/>
        <v>264.84299999999996</v>
      </c>
      <c r="Q18" s="128">
        <f t="shared" si="6"/>
        <v>2</v>
      </c>
      <c r="R18" s="128">
        <f t="shared" si="7"/>
        <v>2</v>
      </c>
    </row>
    <row r="19" spans="1:18" ht="30.65" customHeight="1" x14ac:dyDescent="0.3">
      <c r="A19" s="16">
        <v>9</v>
      </c>
      <c r="B19" s="17" t="s">
        <v>408</v>
      </c>
      <c r="C19" s="18" t="s">
        <v>21</v>
      </c>
      <c r="D19" s="19" t="s">
        <v>22</v>
      </c>
      <c r="E19" s="20" t="s">
        <v>6</v>
      </c>
      <c r="F19" s="20">
        <v>2</v>
      </c>
      <c r="G19" s="110">
        <v>1</v>
      </c>
      <c r="H19" s="111">
        <v>1</v>
      </c>
      <c r="I19" s="110">
        <v>0.5</v>
      </c>
      <c r="J19" s="112">
        <f t="shared" si="2"/>
        <v>0.5</v>
      </c>
      <c r="K19" s="113">
        <f t="shared" si="8"/>
        <v>7</v>
      </c>
      <c r="L19" s="113">
        <f t="shared" si="3"/>
        <v>7</v>
      </c>
      <c r="M19" s="110">
        <v>6</v>
      </c>
      <c r="N19" s="112">
        <f t="shared" si="4"/>
        <v>6</v>
      </c>
      <c r="O19" s="61">
        <f>197.07*1.275</f>
        <v>251.26424999999998</v>
      </c>
      <c r="P19" s="21">
        <f t="shared" si="5"/>
        <v>1507.5854999999999</v>
      </c>
      <c r="Q19" s="128">
        <f t="shared" si="6"/>
        <v>1</v>
      </c>
      <c r="R19" s="128">
        <f t="shared" si="7"/>
        <v>1</v>
      </c>
    </row>
    <row r="20" spans="1:18" ht="15" customHeight="1" x14ac:dyDescent="0.3">
      <c r="A20" s="62">
        <v>10</v>
      </c>
      <c r="B20" s="63" t="s">
        <v>408</v>
      </c>
      <c r="C20" s="64" t="s">
        <v>23</v>
      </c>
      <c r="D20" s="64" t="s">
        <v>24</v>
      </c>
      <c r="E20" s="65" t="s">
        <v>6</v>
      </c>
      <c r="F20" s="65">
        <v>2</v>
      </c>
      <c r="G20" s="110">
        <v>4</v>
      </c>
      <c r="H20" s="111">
        <v>4</v>
      </c>
      <c r="I20" s="110">
        <v>3.5</v>
      </c>
      <c r="J20" s="112">
        <f t="shared" si="2"/>
        <v>3.5</v>
      </c>
      <c r="K20" s="113">
        <f t="shared" si="8"/>
        <v>46</v>
      </c>
      <c r="L20" s="113">
        <f t="shared" si="3"/>
        <v>46</v>
      </c>
      <c r="M20" s="110">
        <v>41</v>
      </c>
      <c r="N20" s="112">
        <f t="shared" si="4"/>
        <v>41</v>
      </c>
      <c r="O20" s="61">
        <f>325.37*1.275</f>
        <v>414.84674999999999</v>
      </c>
      <c r="P20" s="21">
        <f t="shared" si="5"/>
        <v>17008.71675</v>
      </c>
      <c r="Q20" s="128">
        <f t="shared" si="6"/>
        <v>5</v>
      </c>
      <c r="R20" s="128">
        <f t="shared" si="7"/>
        <v>5</v>
      </c>
    </row>
    <row r="21" spans="1:18" ht="27.65" customHeight="1" x14ac:dyDescent="0.3">
      <c r="A21" s="62">
        <v>11</v>
      </c>
      <c r="B21" s="63" t="s">
        <v>408</v>
      </c>
      <c r="C21" s="64">
        <v>11</v>
      </c>
      <c r="D21" s="64" t="s">
        <v>25</v>
      </c>
      <c r="E21" s="65" t="s">
        <v>6</v>
      </c>
      <c r="F21" s="65">
        <v>2</v>
      </c>
      <c r="G21" s="110">
        <v>0</v>
      </c>
      <c r="H21" s="111">
        <v>0</v>
      </c>
      <c r="I21" s="110">
        <v>0.5</v>
      </c>
      <c r="J21" s="112">
        <f t="shared" si="2"/>
        <v>0.5</v>
      </c>
      <c r="K21" s="113">
        <f t="shared" si="8"/>
        <v>6</v>
      </c>
      <c r="L21" s="113">
        <f t="shared" si="3"/>
        <v>6</v>
      </c>
      <c r="M21" s="110">
        <v>6</v>
      </c>
      <c r="N21" s="112">
        <f t="shared" si="4"/>
        <v>6</v>
      </c>
      <c r="O21" s="61">
        <f>375.37*1.275</f>
        <v>478.59674999999999</v>
      </c>
      <c r="P21" s="21">
        <f t="shared" si="5"/>
        <v>2871.5805</v>
      </c>
      <c r="Q21" s="128">
        <f t="shared" si="6"/>
        <v>0</v>
      </c>
      <c r="R21" s="128">
        <f t="shared" si="7"/>
        <v>0</v>
      </c>
    </row>
    <row r="22" spans="1:18" ht="54.65" customHeight="1" x14ac:dyDescent="0.3">
      <c r="A22" s="16">
        <v>12</v>
      </c>
      <c r="B22" s="17" t="s">
        <v>408</v>
      </c>
      <c r="C22" s="23">
        <v>12</v>
      </c>
      <c r="D22" s="26" t="s">
        <v>26</v>
      </c>
      <c r="E22" s="27" t="s">
        <v>6</v>
      </c>
      <c r="F22" s="27">
        <v>1</v>
      </c>
      <c r="G22" s="110">
        <v>0</v>
      </c>
      <c r="H22" s="111">
        <v>0</v>
      </c>
      <c r="I22" s="110">
        <v>4</v>
      </c>
      <c r="J22" s="112">
        <f t="shared" si="2"/>
        <v>4</v>
      </c>
      <c r="K22" s="113">
        <f t="shared" si="8"/>
        <v>48</v>
      </c>
      <c r="L22" s="113">
        <f t="shared" si="3"/>
        <v>48</v>
      </c>
      <c r="M22" s="110">
        <v>48</v>
      </c>
      <c r="N22" s="112">
        <f t="shared" si="4"/>
        <v>48</v>
      </c>
      <c r="O22" s="61">
        <f>932*1.275</f>
        <v>1188.3</v>
      </c>
      <c r="P22" s="21">
        <f t="shared" si="5"/>
        <v>57038.399999999994</v>
      </c>
      <c r="Q22" s="128">
        <f t="shared" si="6"/>
        <v>0</v>
      </c>
      <c r="R22" s="128">
        <f t="shared" si="7"/>
        <v>0</v>
      </c>
    </row>
    <row r="23" spans="1:18" ht="27.65" customHeight="1" x14ac:dyDescent="0.3">
      <c r="A23" s="16">
        <v>13</v>
      </c>
      <c r="B23" s="17" t="s">
        <v>408</v>
      </c>
      <c r="C23" s="23">
        <v>13</v>
      </c>
      <c r="D23" s="26" t="s">
        <v>27</v>
      </c>
      <c r="E23" s="27" t="s">
        <v>6</v>
      </c>
      <c r="F23" s="27">
        <v>1</v>
      </c>
      <c r="G23" s="110">
        <v>0</v>
      </c>
      <c r="H23" s="111">
        <v>0</v>
      </c>
      <c r="I23" s="110">
        <v>4</v>
      </c>
      <c r="J23" s="112">
        <f t="shared" si="2"/>
        <v>4</v>
      </c>
      <c r="K23" s="113">
        <f t="shared" si="8"/>
        <v>48</v>
      </c>
      <c r="L23" s="113">
        <f t="shared" si="3"/>
        <v>48</v>
      </c>
      <c r="M23" s="110">
        <v>48</v>
      </c>
      <c r="N23" s="112">
        <f t="shared" si="4"/>
        <v>48</v>
      </c>
      <c r="O23" s="61">
        <f>982.57*1.275</f>
        <v>1252.77675</v>
      </c>
      <c r="P23" s="21">
        <f t="shared" si="5"/>
        <v>60133.284</v>
      </c>
      <c r="Q23" s="128">
        <f t="shared" si="6"/>
        <v>0</v>
      </c>
      <c r="R23" s="128">
        <f t="shared" si="7"/>
        <v>0</v>
      </c>
    </row>
    <row r="24" spans="1:18" ht="27.65" customHeight="1" x14ac:dyDescent="0.3">
      <c r="A24" s="16">
        <v>14</v>
      </c>
      <c r="B24" s="17" t="s">
        <v>408</v>
      </c>
      <c r="C24" s="18" t="s">
        <v>28</v>
      </c>
      <c r="D24" s="19" t="s">
        <v>412</v>
      </c>
      <c r="E24" s="20" t="s">
        <v>6</v>
      </c>
      <c r="F24" s="20">
        <v>1</v>
      </c>
      <c r="G24" s="110">
        <v>14</v>
      </c>
      <c r="H24" s="111">
        <v>14</v>
      </c>
      <c r="I24" s="110">
        <v>6</v>
      </c>
      <c r="J24" s="112">
        <f t="shared" si="2"/>
        <v>6</v>
      </c>
      <c r="K24" s="113">
        <f t="shared" si="8"/>
        <v>86</v>
      </c>
      <c r="L24" s="113">
        <f t="shared" si="3"/>
        <v>86</v>
      </c>
      <c r="M24" s="110">
        <v>72</v>
      </c>
      <c r="N24" s="112">
        <f t="shared" si="4"/>
        <v>72</v>
      </c>
      <c r="O24" s="61">
        <f>1016.77*1.275</f>
        <v>1296.3817499999998</v>
      </c>
      <c r="P24" s="21">
        <f t="shared" si="5"/>
        <v>93339.48599999999</v>
      </c>
      <c r="Q24" s="128">
        <f t="shared" si="6"/>
        <v>14</v>
      </c>
      <c r="R24" s="128">
        <f t="shared" si="7"/>
        <v>14</v>
      </c>
    </row>
    <row r="25" spans="1:18" ht="27.65" customHeight="1" x14ac:dyDescent="0.3">
      <c r="A25" s="16">
        <v>15</v>
      </c>
      <c r="B25" s="17" t="s">
        <v>408</v>
      </c>
      <c r="C25" s="18" t="s">
        <v>29</v>
      </c>
      <c r="D25" s="19" t="s">
        <v>30</v>
      </c>
      <c r="E25" s="20" t="s">
        <v>6</v>
      </c>
      <c r="F25" s="20">
        <v>2</v>
      </c>
      <c r="G25" s="110">
        <v>0</v>
      </c>
      <c r="H25" s="111">
        <v>0</v>
      </c>
      <c r="I25" s="110">
        <v>0.5</v>
      </c>
      <c r="J25" s="112">
        <f t="shared" si="2"/>
        <v>0.5</v>
      </c>
      <c r="K25" s="113">
        <f t="shared" si="8"/>
        <v>6</v>
      </c>
      <c r="L25" s="113">
        <f t="shared" si="3"/>
        <v>6</v>
      </c>
      <c r="M25" s="110">
        <v>6</v>
      </c>
      <c r="N25" s="112">
        <f t="shared" si="4"/>
        <v>6</v>
      </c>
      <c r="O25" s="61">
        <f>325.37*1.275</f>
        <v>414.84674999999999</v>
      </c>
      <c r="P25" s="21">
        <f t="shared" si="5"/>
        <v>2489.0805</v>
      </c>
      <c r="Q25" s="128">
        <f t="shared" si="6"/>
        <v>0</v>
      </c>
      <c r="R25" s="128">
        <f t="shared" si="7"/>
        <v>0</v>
      </c>
    </row>
    <row r="26" spans="1:18" ht="15" customHeight="1" x14ac:dyDescent="0.3">
      <c r="A26" s="16">
        <v>16</v>
      </c>
      <c r="B26" s="17" t="s">
        <v>408</v>
      </c>
      <c r="C26" s="18">
        <v>16</v>
      </c>
      <c r="D26" s="19" t="s">
        <v>31</v>
      </c>
      <c r="E26" s="20" t="s">
        <v>6</v>
      </c>
      <c r="F26" s="20">
        <v>2</v>
      </c>
      <c r="G26" s="110">
        <v>0</v>
      </c>
      <c r="H26" s="111">
        <v>0</v>
      </c>
      <c r="I26" s="110">
        <v>1</v>
      </c>
      <c r="J26" s="112">
        <f t="shared" si="2"/>
        <v>1</v>
      </c>
      <c r="K26" s="113">
        <f t="shared" si="8"/>
        <v>12</v>
      </c>
      <c r="L26" s="113">
        <f t="shared" si="3"/>
        <v>12</v>
      </c>
      <c r="M26" s="110">
        <v>12</v>
      </c>
      <c r="N26" s="112">
        <f t="shared" si="4"/>
        <v>12</v>
      </c>
      <c r="O26" s="61">
        <f>4214.88*1.275</f>
        <v>5373.9719999999998</v>
      </c>
      <c r="P26" s="21">
        <f t="shared" si="5"/>
        <v>64487.663999999997</v>
      </c>
      <c r="Q26" s="128">
        <f t="shared" si="6"/>
        <v>0</v>
      </c>
      <c r="R26" s="128">
        <f t="shared" si="7"/>
        <v>0</v>
      </c>
    </row>
    <row r="27" spans="1:18" ht="15" customHeight="1" x14ac:dyDescent="0.3">
      <c r="A27" s="16">
        <v>17</v>
      </c>
      <c r="B27" s="17" t="s">
        <v>408</v>
      </c>
      <c r="C27" s="18">
        <v>17</v>
      </c>
      <c r="D27" s="19" t="s">
        <v>32</v>
      </c>
      <c r="E27" s="20" t="s">
        <v>6</v>
      </c>
      <c r="F27" s="20">
        <v>2</v>
      </c>
      <c r="G27" s="110">
        <v>0</v>
      </c>
      <c r="H27" s="111">
        <v>0</v>
      </c>
      <c r="I27" s="110">
        <v>0.5</v>
      </c>
      <c r="J27" s="112">
        <f t="shared" si="2"/>
        <v>0.5</v>
      </c>
      <c r="K27" s="113">
        <f t="shared" si="8"/>
        <v>6</v>
      </c>
      <c r="L27" s="113">
        <f t="shared" si="3"/>
        <v>6</v>
      </c>
      <c r="M27" s="110">
        <v>6</v>
      </c>
      <c r="N27" s="112">
        <f t="shared" si="4"/>
        <v>6</v>
      </c>
      <c r="O27" s="61">
        <v>6180.07</v>
      </c>
      <c r="P27" s="21">
        <f t="shared" si="5"/>
        <v>37080.42</v>
      </c>
      <c r="Q27" s="128">
        <f t="shared" si="6"/>
        <v>0</v>
      </c>
      <c r="R27" s="128">
        <f t="shared" si="7"/>
        <v>0</v>
      </c>
    </row>
    <row r="28" spans="1:18" ht="15" customHeight="1" x14ac:dyDescent="0.3">
      <c r="A28" s="62">
        <v>18</v>
      </c>
      <c r="B28" s="63" t="s">
        <v>408</v>
      </c>
      <c r="C28" s="64">
        <v>18</v>
      </c>
      <c r="D28" s="64" t="s">
        <v>33</v>
      </c>
      <c r="E28" s="65" t="s">
        <v>6</v>
      </c>
      <c r="F28" s="65">
        <v>1</v>
      </c>
      <c r="G28" s="110">
        <v>0</v>
      </c>
      <c r="H28" s="111">
        <v>0</v>
      </c>
      <c r="I28" s="110">
        <v>0.5</v>
      </c>
      <c r="J28" s="112">
        <f t="shared" si="2"/>
        <v>0.5</v>
      </c>
      <c r="K28" s="113">
        <f t="shared" si="8"/>
        <v>6</v>
      </c>
      <c r="L28" s="113">
        <f t="shared" si="3"/>
        <v>6</v>
      </c>
      <c r="M28" s="110">
        <v>6</v>
      </c>
      <c r="N28" s="112">
        <f t="shared" si="4"/>
        <v>6</v>
      </c>
      <c r="O28" s="61">
        <f>1221.23*1.275</f>
        <v>1557.0682499999998</v>
      </c>
      <c r="P28" s="21">
        <f t="shared" si="5"/>
        <v>9342.4094999999979</v>
      </c>
      <c r="Q28" s="128">
        <f t="shared" si="6"/>
        <v>0</v>
      </c>
      <c r="R28" s="128">
        <f t="shared" si="7"/>
        <v>0</v>
      </c>
    </row>
    <row r="29" spans="1:18" ht="15" customHeight="1" x14ac:dyDescent="0.3">
      <c r="A29" s="62">
        <v>19</v>
      </c>
      <c r="B29" s="63" t="s">
        <v>408</v>
      </c>
      <c r="C29" s="64">
        <v>19</v>
      </c>
      <c r="D29" s="64" t="s">
        <v>34</v>
      </c>
      <c r="E29" s="65" t="s">
        <v>6</v>
      </c>
      <c r="F29" s="65">
        <v>1</v>
      </c>
      <c r="G29" s="110">
        <v>0</v>
      </c>
      <c r="H29" s="111">
        <v>0</v>
      </c>
      <c r="I29" s="110">
        <v>0.5</v>
      </c>
      <c r="J29" s="112">
        <f t="shared" si="2"/>
        <v>0.5</v>
      </c>
      <c r="K29" s="113">
        <f t="shared" si="8"/>
        <v>6</v>
      </c>
      <c r="L29" s="113">
        <f t="shared" si="3"/>
        <v>6</v>
      </c>
      <c r="M29" s="110">
        <v>6</v>
      </c>
      <c r="N29" s="112">
        <f t="shared" si="4"/>
        <v>6</v>
      </c>
      <c r="O29" s="61">
        <v>1868.48</v>
      </c>
      <c r="P29" s="21">
        <f t="shared" si="5"/>
        <v>11210.880000000001</v>
      </c>
      <c r="Q29" s="128">
        <f t="shared" si="6"/>
        <v>0</v>
      </c>
      <c r="R29" s="128">
        <f t="shared" si="7"/>
        <v>0</v>
      </c>
    </row>
    <row r="30" spans="1:18" ht="15" customHeight="1" x14ac:dyDescent="0.3">
      <c r="A30" s="16">
        <v>20</v>
      </c>
      <c r="B30" s="17" t="s">
        <v>408</v>
      </c>
      <c r="C30" s="18">
        <v>20</v>
      </c>
      <c r="D30" s="19" t="s">
        <v>35</v>
      </c>
      <c r="E30" s="20" t="s">
        <v>6</v>
      </c>
      <c r="F30" s="20">
        <v>1</v>
      </c>
      <c r="G30" s="110">
        <v>0</v>
      </c>
      <c r="H30" s="111">
        <v>0</v>
      </c>
      <c r="I30" s="110">
        <v>0.5</v>
      </c>
      <c r="J30" s="112">
        <f t="shared" si="2"/>
        <v>0.5</v>
      </c>
      <c r="K30" s="113">
        <f t="shared" si="8"/>
        <v>6</v>
      </c>
      <c r="L30" s="113">
        <f t="shared" si="3"/>
        <v>6</v>
      </c>
      <c r="M30" s="110">
        <v>6</v>
      </c>
      <c r="N30" s="112">
        <f t="shared" si="4"/>
        <v>6</v>
      </c>
      <c r="O30" s="61">
        <f>2218.19*1.275</f>
        <v>2828.1922500000001</v>
      </c>
      <c r="P30" s="21">
        <f t="shared" si="5"/>
        <v>16969.1535</v>
      </c>
      <c r="Q30" s="128">
        <f t="shared" si="6"/>
        <v>0</v>
      </c>
      <c r="R30" s="128">
        <f t="shared" si="7"/>
        <v>0</v>
      </c>
    </row>
    <row r="31" spans="1:18" ht="15" customHeight="1" x14ac:dyDescent="0.3">
      <c r="A31" s="16">
        <v>21</v>
      </c>
      <c r="B31" s="17" t="s">
        <v>408</v>
      </c>
      <c r="C31" s="18">
        <v>21</v>
      </c>
      <c r="D31" s="19" t="s">
        <v>36</v>
      </c>
      <c r="E31" s="20" t="s">
        <v>6</v>
      </c>
      <c r="F31" s="20">
        <v>1</v>
      </c>
      <c r="G31" s="110">
        <v>0</v>
      </c>
      <c r="H31" s="111">
        <v>0</v>
      </c>
      <c r="I31" s="110">
        <v>0.5</v>
      </c>
      <c r="J31" s="112">
        <f t="shared" si="2"/>
        <v>0.5</v>
      </c>
      <c r="K31" s="113">
        <f t="shared" si="8"/>
        <v>6</v>
      </c>
      <c r="L31" s="113">
        <f t="shared" si="3"/>
        <v>6</v>
      </c>
      <c r="M31" s="110">
        <v>6</v>
      </c>
      <c r="N31" s="112">
        <f t="shared" si="4"/>
        <v>6</v>
      </c>
      <c r="O31" s="61">
        <v>3393.83</v>
      </c>
      <c r="P31" s="21">
        <f t="shared" si="5"/>
        <v>20362.98</v>
      </c>
      <c r="Q31" s="128">
        <f t="shared" si="6"/>
        <v>0</v>
      </c>
      <c r="R31" s="128">
        <f t="shared" si="7"/>
        <v>0</v>
      </c>
    </row>
    <row r="32" spans="1:18" ht="15" customHeight="1" x14ac:dyDescent="0.3">
      <c r="A32" s="62">
        <v>22</v>
      </c>
      <c r="B32" s="63" t="s">
        <v>408</v>
      </c>
      <c r="C32" s="64" t="s">
        <v>37</v>
      </c>
      <c r="D32" s="64" t="s">
        <v>38</v>
      </c>
      <c r="E32" s="65" t="s">
        <v>6</v>
      </c>
      <c r="F32" s="65">
        <v>2</v>
      </c>
      <c r="G32" s="110">
        <v>1</v>
      </c>
      <c r="H32" s="111">
        <v>1</v>
      </c>
      <c r="I32" s="108">
        <v>0.25</v>
      </c>
      <c r="J32" s="109">
        <f t="shared" si="2"/>
        <v>0.25</v>
      </c>
      <c r="K32" s="113">
        <f t="shared" si="8"/>
        <v>4</v>
      </c>
      <c r="L32" s="113">
        <f t="shared" si="3"/>
        <v>4</v>
      </c>
      <c r="M32" s="110">
        <v>2</v>
      </c>
      <c r="N32" s="112">
        <f t="shared" si="4"/>
        <v>2</v>
      </c>
      <c r="O32" s="61">
        <f>66.76*1.275</f>
        <v>85.119</v>
      </c>
      <c r="P32" s="21">
        <f t="shared" si="5"/>
        <v>170.238</v>
      </c>
      <c r="Q32" s="128">
        <f t="shared" si="6"/>
        <v>2</v>
      </c>
      <c r="R32" s="128">
        <f t="shared" si="7"/>
        <v>2</v>
      </c>
    </row>
    <row r="33" spans="1:18" ht="15" customHeight="1" x14ac:dyDescent="0.3">
      <c r="A33" s="62">
        <v>23</v>
      </c>
      <c r="B33" s="63" t="s">
        <v>408</v>
      </c>
      <c r="C33" s="64" t="s">
        <v>39</v>
      </c>
      <c r="D33" s="64" t="s">
        <v>40</v>
      </c>
      <c r="E33" s="65" t="s">
        <v>6</v>
      </c>
      <c r="F33" s="65">
        <v>2</v>
      </c>
      <c r="G33" s="110">
        <v>5</v>
      </c>
      <c r="H33" s="111">
        <v>5</v>
      </c>
      <c r="I33" s="110">
        <v>4.25</v>
      </c>
      <c r="J33" s="112">
        <f t="shared" si="2"/>
        <v>4.25</v>
      </c>
      <c r="K33" s="113">
        <f t="shared" si="8"/>
        <v>56</v>
      </c>
      <c r="L33" s="113">
        <f t="shared" si="3"/>
        <v>56</v>
      </c>
      <c r="M33" s="110">
        <v>52</v>
      </c>
      <c r="N33" s="112">
        <f t="shared" si="4"/>
        <v>52</v>
      </c>
      <c r="O33" s="61">
        <f>466*1.275</f>
        <v>594.15</v>
      </c>
      <c r="P33" s="21">
        <f t="shared" si="5"/>
        <v>30895.8</v>
      </c>
      <c r="Q33" s="128">
        <f t="shared" si="6"/>
        <v>4</v>
      </c>
      <c r="R33" s="128">
        <f t="shared" si="7"/>
        <v>4</v>
      </c>
    </row>
    <row r="34" spans="1:18" ht="28.75" customHeight="1" x14ac:dyDescent="0.3">
      <c r="A34" s="16">
        <v>24</v>
      </c>
      <c r="B34" s="17" t="s">
        <v>408</v>
      </c>
      <c r="C34" s="18">
        <v>24</v>
      </c>
      <c r="D34" s="19" t="s">
        <v>41</v>
      </c>
      <c r="E34" s="20" t="s">
        <v>6</v>
      </c>
      <c r="F34" s="20">
        <v>2</v>
      </c>
      <c r="G34" s="110">
        <v>0</v>
      </c>
      <c r="H34" s="111">
        <v>0</v>
      </c>
      <c r="I34" s="110">
        <v>0.5</v>
      </c>
      <c r="J34" s="112">
        <f t="shared" si="2"/>
        <v>0.5</v>
      </c>
      <c r="K34" s="113">
        <f t="shared" si="8"/>
        <v>6</v>
      </c>
      <c r="L34" s="113">
        <f t="shared" si="3"/>
        <v>6</v>
      </c>
      <c r="M34" s="110">
        <v>6</v>
      </c>
      <c r="N34" s="112">
        <f t="shared" si="4"/>
        <v>6</v>
      </c>
      <c r="O34" s="61">
        <f>516*1.275</f>
        <v>657.9</v>
      </c>
      <c r="P34" s="21">
        <f t="shared" si="5"/>
        <v>3947.3999999999996</v>
      </c>
      <c r="Q34" s="128">
        <f t="shared" si="6"/>
        <v>0</v>
      </c>
      <c r="R34" s="128">
        <f t="shared" si="7"/>
        <v>0</v>
      </c>
    </row>
    <row r="35" spans="1:18" ht="15" customHeight="1" x14ac:dyDescent="0.3">
      <c r="A35" s="16">
        <v>25</v>
      </c>
      <c r="B35" s="17" t="s">
        <v>408</v>
      </c>
      <c r="C35" s="18" t="s">
        <v>42</v>
      </c>
      <c r="D35" s="19" t="s">
        <v>43</v>
      </c>
      <c r="E35" s="20" t="s">
        <v>6</v>
      </c>
      <c r="F35" s="20">
        <v>2</v>
      </c>
      <c r="G35" s="110">
        <v>1</v>
      </c>
      <c r="H35" s="111">
        <v>1</v>
      </c>
      <c r="I35" s="108">
        <v>0.25</v>
      </c>
      <c r="J35" s="109">
        <f t="shared" si="2"/>
        <v>0.25</v>
      </c>
      <c r="K35" s="113">
        <f t="shared" si="8"/>
        <v>4</v>
      </c>
      <c r="L35" s="113">
        <f t="shared" si="3"/>
        <v>4</v>
      </c>
      <c r="M35" s="110">
        <v>2</v>
      </c>
      <c r="N35" s="112">
        <f t="shared" si="4"/>
        <v>2</v>
      </c>
      <c r="O35" s="61">
        <f>497.57*1.275</f>
        <v>634.40174999999999</v>
      </c>
      <c r="P35" s="21">
        <f t="shared" si="5"/>
        <v>1268.8035</v>
      </c>
      <c r="Q35" s="128">
        <f t="shared" si="6"/>
        <v>2</v>
      </c>
      <c r="R35" s="128">
        <f t="shared" si="7"/>
        <v>2</v>
      </c>
    </row>
    <row r="36" spans="1:18" ht="27.65" customHeight="1" x14ac:dyDescent="0.3">
      <c r="A36" s="62">
        <v>26</v>
      </c>
      <c r="B36" s="63" t="s">
        <v>408</v>
      </c>
      <c r="C36" s="64">
        <v>26</v>
      </c>
      <c r="D36" s="64" t="s">
        <v>44</v>
      </c>
      <c r="E36" s="65" t="s">
        <v>6</v>
      </c>
      <c r="F36" s="65">
        <v>2</v>
      </c>
      <c r="G36" s="110">
        <v>0</v>
      </c>
      <c r="H36" s="111">
        <v>0</v>
      </c>
      <c r="I36" s="110">
        <v>0.5</v>
      </c>
      <c r="J36" s="112">
        <f t="shared" si="2"/>
        <v>0.5</v>
      </c>
      <c r="K36" s="113">
        <f t="shared" si="8"/>
        <v>6</v>
      </c>
      <c r="L36" s="113">
        <f t="shared" si="3"/>
        <v>6</v>
      </c>
      <c r="M36" s="110">
        <v>6</v>
      </c>
      <c r="N36" s="112">
        <f t="shared" si="4"/>
        <v>6</v>
      </c>
      <c r="O36" s="61">
        <f>547.57*1.275</f>
        <v>698.15174999999999</v>
      </c>
      <c r="P36" s="21">
        <f t="shared" si="5"/>
        <v>4188.9105</v>
      </c>
      <c r="Q36" s="128">
        <f t="shared" si="6"/>
        <v>0</v>
      </c>
      <c r="R36" s="128">
        <f t="shared" si="7"/>
        <v>0</v>
      </c>
    </row>
    <row r="37" spans="1:18" ht="15" customHeight="1" x14ac:dyDescent="0.3">
      <c r="A37" s="62">
        <v>27</v>
      </c>
      <c r="B37" s="63" t="s">
        <v>408</v>
      </c>
      <c r="C37" s="64" t="s">
        <v>45</v>
      </c>
      <c r="D37" s="64" t="s">
        <v>46</v>
      </c>
      <c r="E37" s="65" t="s">
        <v>6</v>
      </c>
      <c r="F37" s="65">
        <v>2</v>
      </c>
      <c r="G37" s="110">
        <v>0</v>
      </c>
      <c r="H37" s="111">
        <v>0</v>
      </c>
      <c r="I37" s="108">
        <v>0.25</v>
      </c>
      <c r="J37" s="109">
        <f t="shared" si="2"/>
        <v>0.25</v>
      </c>
      <c r="K37" s="113">
        <f t="shared" si="8"/>
        <v>3</v>
      </c>
      <c r="L37" s="113">
        <f t="shared" si="3"/>
        <v>3</v>
      </c>
      <c r="M37" s="110">
        <v>3</v>
      </c>
      <c r="N37" s="112">
        <f t="shared" si="4"/>
        <v>3</v>
      </c>
      <c r="O37" s="61">
        <f>119.66*1.275</f>
        <v>152.56649999999999</v>
      </c>
      <c r="P37" s="21">
        <f t="shared" si="5"/>
        <v>457.69949999999994</v>
      </c>
      <c r="Q37" s="128">
        <f t="shared" si="6"/>
        <v>0</v>
      </c>
      <c r="R37" s="128">
        <f t="shared" si="7"/>
        <v>0</v>
      </c>
    </row>
    <row r="38" spans="1:18" ht="15" customHeight="1" x14ac:dyDescent="0.3">
      <c r="A38" s="16">
        <v>28</v>
      </c>
      <c r="B38" s="17" t="s">
        <v>408</v>
      </c>
      <c r="C38" s="18" t="s">
        <v>47</v>
      </c>
      <c r="D38" s="19" t="s">
        <v>48</v>
      </c>
      <c r="E38" s="20" t="s">
        <v>6</v>
      </c>
      <c r="F38" s="20">
        <v>2</v>
      </c>
      <c r="G38" s="110">
        <v>0</v>
      </c>
      <c r="H38" s="111">
        <v>0</v>
      </c>
      <c r="I38" s="108">
        <v>0.25</v>
      </c>
      <c r="J38" s="109">
        <f t="shared" si="2"/>
        <v>0.25</v>
      </c>
      <c r="K38" s="113">
        <f t="shared" si="8"/>
        <v>3</v>
      </c>
      <c r="L38" s="113">
        <f t="shared" si="3"/>
        <v>3</v>
      </c>
      <c r="M38" s="110">
        <v>3</v>
      </c>
      <c r="N38" s="112">
        <f t="shared" si="4"/>
        <v>3</v>
      </c>
      <c r="O38" s="61">
        <f>199.43*1.275</f>
        <v>254.27324999999999</v>
      </c>
      <c r="P38" s="21">
        <f t="shared" si="5"/>
        <v>762.81975</v>
      </c>
      <c r="Q38" s="128">
        <f t="shared" si="6"/>
        <v>0</v>
      </c>
      <c r="R38" s="128">
        <f t="shared" si="7"/>
        <v>0</v>
      </c>
    </row>
    <row r="39" spans="1:18" ht="15" customHeight="1" x14ac:dyDescent="0.3">
      <c r="A39" s="16">
        <v>29</v>
      </c>
      <c r="B39" s="17" t="s">
        <v>408</v>
      </c>
      <c r="C39" s="18" t="s">
        <v>49</v>
      </c>
      <c r="D39" s="19" t="s">
        <v>50</v>
      </c>
      <c r="E39" s="20" t="s">
        <v>6</v>
      </c>
      <c r="F39" s="20">
        <v>2</v>
      </c>
      <c r="G39" s="110">
        <v>0</v>
      </c>
      <c r="H39" s="111">
        <v>0</v>
      </c>
      <c r="I39" s="108">
        <v>0.25</v>
      </c>
      <c r="J39" s="109">
        <f t="shared" si="2"/>
        <v>0.25</v>
      </c>
      <c r="K39" s="113">
        <f t="shared" si="8"/>
        <v>3</v>
      </c>
      <c r="L39" s="113">
        <f t="shared" si="3"/>
        <v>3</v>
      </c>
      <c r="M39" s="110">
        <v>2</v>
      </c>
      <c r="N39" s="112">
        <f t="shared" si="4"/>
        <v>2</v>
      </c>
      <c r="O39" s="61">
        <f>199.43*1.275</f>
        <v>254.27324999999999</v>
      </c>
      <c r="P39" s="21">
        <f t="shared" si="5"/>
        <v>508.54649999999998</v>
      </c>
      <c r="Q39" s="128">
        <f t="shared" si="6"/>
        <v>1</v>
      </c>
      <c r="R39" s="128">
        <f t="shared" si="7"/>
        <v>1</v>
      </c>
    </row>
    <row r="40" spans="1:18" ht="15" customHeight="1" x14ac:dyDescent="0.3">
      <c r="A40" s="62">
        <v>30</v>
      </c>
      <c r="B40" s="63" t="s">
        <v>408</v>
      </c>
      <c r="C40" s="64" t="s">
        <v>51</v>
      </c>
      <c r="D40" s="64" t="s">
        <v>52</v>
      </c>
      <c r="E40" s="65" t="s">
        <v>6</v>
      </c>
      <c r="F40" s="65">
        <v>1</v>
      </c>
      <c r="G40" s="110">
        <v>0</v>
      </c>
      <c r="H40" s="111">
        <v>0</v>
      </c>
      <c r="I40" s="108">
        <v>0.25</v>
      </c>
      <c r="J40" s="109">
        <f t="shared" si="2"/>
        <v>0.25</v>
      </c>
      <c r="K40" s="113">
        <f t="shared" si="8"/>
        <v>3</v>
      </c>
      <c r="L40" s="113">
        <f t="shared" si="3"/>
        <v>3</v>
      </c>
      <c r="M40" s="110">
        <v>2</v>
      </c>
      <c r="N40" s="112">
        <f t="shared" si="4"/>
        <v>2</v>
      </c>
      <c r="O40" s="61">
        <f>159.54*1.275</f>
        <v>203.41349999999997</v>
      </c>
      <c r="P40" s="21">
        <f t="shared" si="5"/>
        <v>406.82699999999994</v>
      </c>
      <c r="Q40" s="128">
        <f t="shared" si="6"/>
        <v>1</v>
      </c>
      <c r="R40" s="128">
        <f t="shared" si="7"/>
        <v>1</v>
      </c>
    </row>
    <row r="41" spans="1:18" ht="15" customHeight="1" x14ac:dyDescent="0.3">
      <c r="A41" s="62">
        <v>31</v>
      </c>
      <c r="B41" s="63" t="s">
        <v>408</v>
      </c>
      <c r="C41" s="64" t="s">
        <v>53</v>
      </c>
      <c r="D41" s="64" t="s">
        <v>54</v>
      </c>
      <c r="E41" s="65" t="s">
        <v>6</v>
      </c>
      <c r="F41" s="65">
        <v>2</v>
      </c>
      <c r="G41" s="110">
        <v>2</v>
      </c>
      <c r="H41" s="111">
        <v>4</v>
      </c>
      <c r="I41" s="110">
        <v>2</v>
      </c>
      <c r="J41" s="112">
        <f t="shared" si="2"/>
        <v>4</v>
      </c>
      <c r="K41" s="113">
        <f t="shared" si="8"/>
        <v>26</v>
      </c>
      <c r="L41" s="113">
        <f t="shared" si="3"/>
        <v>52</v>
      </c>
      <c r="M41" s="110">
        <v>24</v>
      </c>
      <c r="N41" s="112">
        <f t="shared" si="4"/>
        <v>48</v>
      </c>
      <c r="O41" s="61">
        <f>126.5*1.275</f>
        <v>161.28749999999999</v>
      </c>
      <c r="P41" s="21">
        <f t="shared" si="5"/>
        <v>7741.7999999999993</v>
      </c>
      <c r="Q41" s="128">
        <f t="shared" si="6"/>
        <v>2</v>
      </c>
      <c r="R41" s="128">
        <f t="shared" si="7"/>
        <v>4</v>
      </c>
    </row>
    <row r="42" spans="1:18" ht="15" customHeight="1" x14ac:dyDescent="0.3">
      <c r="A42" s="16">
        <v>32</v>
      </c>
      <c r="B42" s="17" t="s">
        <v>408</v>
      </c>
      <c r="C42" s="18">
        <v>32</v>
      </c>
      <c r="D42" s="19" t="s">
        <v>55</v>
      </c>
      <c r="E42" s="20" t="s">
        <v>6</v>
      </c>
      <c r="F42" s="20">
        <v>2</v>
      </c>
      <c r="G42" s="110">
        <v>0</v>
      </c>
      <c r="H42" s="111">
        <v>0</v>
      </c>
      <c r="I42" s="110">
        <v>0.5</v>
      </c>
      <c r="J42" s="112">
        <f t="shared" si="2"/>
        <v>0.5</v>
      </c>
      <c r="K42" s="113">
        <f t="shared" si="8"/>
        <v>6</v>
      </c>
      <c r="L42" s="113">
        <f t="shared" si="3"/>
        <v>6</v>
      </c>
      <c r="M42" s="110">
        <v>6</v>
      </c>
      <c r="N42" s="112">
        <f t="shared" si="4"/>
        <v>6</v>
      </c>
      <c r="O42" s="61">
        <f>391.8*1.275</f>
        <v>499.54499999999996</v>
      </c>
      <c r="P42" s="21">
        <f t="shared" si="5"/>
        <v>2997.2699999999995</v>
      </c>
      <c r="Q42" s="128">
        <f t="shared" si="6"/>
        <v>0</v>
      </c>
      <c r="R42" s="128">
        <f t="shared" si="7"/>
        <v>0</v>
      </c>
    </row>
    <row r="43" spans="1:18" ht="26.4" customHeight="1" x14ac:dyDescent="0.3">
      <c r="A43" s="16">
        <v>33</v>
      </c>
      <c r="B43" s="17" t="s">
        <v>408</v>
      </c>
      <c r="C43" s="18" t="s">
        <v>56</v>
      </c>
      <c r="D43" s="19" t="s">
        <v>57</v>
      </c>
      <c r="E43" s="20" t="s">
        <v>6</v>
      </c>
      <c r="F43" s="20">
        <v>2</v>
      </c>
      <c r="G43" s="110">
        <v>17</v>
      </c>
      <c r="H43" s="111">
        <v>20</v>
      </c>
      <c r="I43" s="110">
        <v>17</v>
      </c>
      <c r="J43" s="112">
        <f t="shared" si="2"/>
        <v>20</v>
      </c>
      <c r="K43" s="113">
        <f t="shared" si="8"/>
        <v>221</v>
      </c>
      <c r="L43" s="113">
        <f t="shared" si="3"/>
        <v>260</v>
      </c>
      <c r="M43" s="110">
        <v>204</v>
      </c>
      <c r="N43" s="112">
        <f t="shared" si="4"/>
        <v>240</v>
      </c>
      <c r="O43" s="61">
        <f>151.8*1.275</f>
        <v>193.54499999999999</v>
      </c>
      <c r="P43" s="21">
        <f t="shared" si="5"/>
        <v>46450.799999999996</v>
      </c>
      <c r="Q43" s="128">
        <f t="shared" si="6"/>
        <v>17</v>
      </c>
      <c r="R43" s="128">
        <f t="shared" si="7"/>
        <v>20</v>
      </c>
    </row>
    <row r="44" spans="1:18" ht="15" customHeight="1" x14ac:dyDescent="0.3">
      <c r="A44" s="62">
        <v>34</v>
      </c>
      <c r="B44" s="63" t="s">
        <v>408</v>
      </c>
      <c r="C44" s="64" t="s">
        <v>58</v>
      </c>
      <c r="D44" s="64" t="s">
        <v>59</v>
      </c>
      <c r="E44" s="65" t="s">
        <v>6</v>
      </c>
      <c r="F44" s="65">
        <v>2</v>
      </c>
      <c r="G44" s="110">
        <v>1</v>
      </c>
      <c r="H44" s="111">
        <v>1</v>
      </c>
      <c r="I44" s="110">
        <v>1</v>
      </c>
      <c r="J44" s="112">
        <f t="shared" si="2"/>
        <v>1</v>
      </c>
      <c r="K44" s="113">
        <f t="shared" si="8"/>
        <v>13</v>
      </c>
      <c r="L44" s="113">
        <f t="shared" si="3"/>
        <v>13</v>
      </c>
      <c r="M44" s="110">
        <v>12</v>
      </c>
      <c r="N44" s="112">
        <f>IF(G44=0,M44,M44*(H44/G44))</f>
        <v>12</v>
      </c>
      <c r="O44" s="61">
        <f>134.94*1.275</f>
        <v>172.04849999999999</v>
      </c>
      <c r="P44" s="21">
        <f t="shared" si="5"/>
        <v>2064.5819999999999</v>
      </c>
      <c r="Q44" s="128">
        <f t="shared" si="6"/>
        <v>1</v>
      </c>
      <c r="R44" s="128">
        <f t="shared" si="7"/>
        <v>1</v>
      </c>
    </row>
    <row r="45" spans="1:18" ht="15" customHeight="1" x14ac:dyDescent="0.3">
      <c r="A45" s="62">
        <v>35</v>
      </c>
      <c r="B45" s="63" t="s">
        <v>408</v>
      </c>
      <c r="C45" s="64">
        <v>35</v>
      </c>
      <c r="D45" s="64" t="s">
        <v>60</v>
      </c>
      <c r="E45" s="65" t="s">
        <v>6</v>
      </c>
      <c r="F45" s="65">
        <v>2</v>
      </c>
      <c r="G45" s="110">
        <v>0</v>
      </c>
      <c r="H45" s="111">
        <v>0</v>
      </c>
      <c r="I45" s="110">
        <v>0.5</v>
      </c>
      <c r="J45" s="112">
        <f t="shared" si="2"/>
        <v>0.5</v>
      </c>
      <c r="K45" s="113">
        <f t="shared" si="8"/>
        <v>6</v>
      </c>
      <c r="L45" s="113">
        <f t="shared" si="3"/>
        <v>6</v>
      </c>
      <c r="M45" s="110">
        <v>6</v>
      </c>
      <c r="N45" s="112">
        <f t="shared" si="4"/>
        <v>6</v>
      </c>
      <c r="O45" s="61">
        <f>400.24*1.275</f>
        <v>510.30599999999998</v>
      </c>
      <c r="P45" s="21">
        <f t="shared" si="5"/>
        <v>3061.8359999999998</v>
      </c>
      <c r="Q45" s="128">
        <f t="shared" si="6"/>
        <v>0</v>
      </c>
      <c r="R45" s="128">
        <f t="shared" si="7"/>
        <v>0</v>
      </c>
    </row>
    <row r="46" spans="1:18" ht="15" customHeight="1" x14ac:dyDescent="0.3">
      <c r="A46" s="16">
        <v>36</v>
      </c>
      <c r="B46" s="17" t="s">
        <v>408</v>
      </c>
      <c r="C46" s="18" t="s">
        <v>61</v>
      </c>
      <c r="D46" s="19" t="s">
        <v>62</v>
      </c>
      <c r="E46" s="20" t="s">
        <v>6</v>
      </c>
      <c r="F46" s="20">
        <v>2</v>
      </c>
      <c r="G46" s="110">
        <v>1</v>
      </c>
      <c r="H46" s="111">
        <v>1</v>
      </c>
      <c r="I46" s="108">
        <v>0.25</v>
      </c>
      <c r="J46" s="109">
        <f t="shared" si="2"/>
        <v>0.25</v>
      </c>
      <c r="K46" s="113">
        <f t="shared" si="8"/>
        <v>4</v>
      </c>
      <c r="L46" s="113">
        <f t="shared" si="3"/>
        <v>4</v>
      </c>
      <c r="M46" s="110">
        <v>2</v>
      </c>
      <c r="N46" s="112">
        <f t="shared" si="4"/>
        <v>2</v>
      </c>
      <c r="O46" s="61">
        <f>168.67*1.275</f>
        <v>215.05424999999997</v>
      </c>
      <c r="P46" s="21">
        <f t="shared" si="5"/>
        <v>430.10849999999994</v>
      </c>
      <c r="Q46" s="128">
        <f t="shared" si="6"/>
        <v>2</v>
      </c>
      <c r="R46" s="128">
        <f t="shared" si="7"/>
        <v>2</v>
      </c>
    </row>
    <row r="47" spans="1:18" ht="31.25" customHeight="1" x14ac:dyDescent="0.3">
      <c r="A47" s="16">
        <v>37</v>
      </c>
      <c r="B47" s="17" t="s">
        <v>408</v>
      </c>
      <c r="C47" s="18" t="s">
        <v>63</v>
      </c>
      <c r="D47" s="19" t="s">
        <v>64</v>
      </c>
      <c r="E47" s="20" t="s">
        <v>6</v>
      </c>
      <c r="F47" s="20">
        <v>2</v>
      </c>
      <c r="G47" s="110">
        <v>1</v>
      </c>
      <c r="H47" s="111">
        <v>1</v>
      </c>
      <c r="I47" s="110">
        <v>0.5</v>
      </c>
      <c r="J47" s="112">
        <f t="shared" si="2"/>
        <v>0.5</v>
      </c>
      <c r="K47" s="113">
        <f t="shared" si="8"/>
        <v>7</v>
      </c>
      <c r="L47" s="113">
        <f t="shared" si="3"/>
        <v>7</v>
      </c>
      <c r="M47" s="110">
        <v>7</v>
      </c>
      <c r="N47" s="112">
        <f t="shared" si="4"/>
        <v>7</v>
      </c>
      <c r="O47" s="61">
        <f>269.87*1.275</f>
        <v>344.08425</v>
      </c>
      <c r="P47" s="21">
        <f t="shared" si="5"/>
        <v>2408.5897500000001</v>
      </c>
      <c r="Q47" s="128">
        <f t="shared" si="6"/>
        <v>0</v>
      </c>
      <c r="R47" s="128">
        <f t="shared" si="7"/>
        <v>0</v>
      </c>
    </row>
    <row r="48" spans="1:18" ht="15" customHeight="1" x14ac:dyDescent="0.3">
      <c r="A48" s="62">
        <v>38</v>
      </c>
      <c r="B48" s="63" t="s">
        <v>408</v>
      </c>
      <c r="C48" s="64" t="s">
        <v>65</v>
      </c>
      <c r="D48" s="64" t="s">
        <v>66</v>
      </c>
      <c r="E48" s="65" t="s">
        <v>6</v>
      </c>
      <c r="F48" s="65">
        <v>2</v>
      </c>
      <c r="G48" s="110">
        <v>0</v>
      </c>
      <c r="H48" s="111">
        <v>0</v>
      </c>
      <c r="I48" s="108">
        <v>0.25</v>
      </c>
      <c r="J48" s="109">
        <f t="shared" si="2"/>
        <v>0.25</v>
      </c>
      <c r="K48" s="113">
        <f t="shared" si="8"/>
        <v>3</v>
      </c>
      <c r="L48" s="113">
        <f t="shared" si="3"/>
        <v>3</v>
      </c>
      <c r="M48" s="110">
        <v>3</v>
      </c>
      <c r="N48" s="112">
        <f t="shared" si="4"/>
        <v>3</v>
      </c>
      <c r="O48" s="61">
        <f>260*1.275</f>
        <v>331.5</v>
      </c>
      <c r="P48" s="21">
        <f t="shared" si="5"/>
        <v>994.5</v>
      </c>
      <c r="Q48" s="128">
        <f t="shared" si="6"/>
        <v>0</v>
      </c>
      <c r="R48" s="128">
        <f t="shared" si="7"/>
        <v>0</v>
      </c>
    </row>
    <row r="49" spans="1:18" ht="25.75" customHeight="1" x14ac:dyDescent="0.3">
      <c r="A49" s="62">
        <v>39</v>
      </c>
      <c r="B49" s="63" t="s">
        <v>408</v>
      </c>
      <c r="C49" s="64" t="s">
        <v>67</v>
      </c>
      <c r="D49" s="64" t="s">
        <v>68</v>
      </c>
      <c r="E49" s="65" t="s">
        <v>6</v>
      </c>
      <c r="F49" s="65">
        <v>2</v>
      </c>
      <c r="G49" s="110">
        <v>0</v>
      </c>
      <c r="H49" s="111">
        <v>0</v>
      </c>
      <c r="I49" s="108">
        <v>0.25</v>
      </c>
      <c r="J49" s="109">
        <f t="shared" si="2"/>
        <v>0.25</v>
      </c>
      <c r="K49" s="113">
        <f t="shared" si="8"/>
        <v>3</v>
      </c>
      <c r="L49" s="113">
        <f t="shared" si="3"/>
        <v>3</v>
      </c>
      <c r="M49" s="110">
        <v>3</v>
      </c>
      <c r="N49" s="112">
        <f t="shared" si="4"/>
        <v>3</v>
      </c>
      <c r="O49" s="61">
        <f>293.04*1.275</f>
        <v>373.62599999999998</v>
      </c>
      <c r="P49" s="21">
        <f t="shared" si="5"/>
        <v>1120.8779999999999</v>
      </c>
      <c r="Q49" s="128">
        <f t="shared" si="6"/>
        <v>0</v>
      </c>
      <c r="R49" s="128">
        <f t="shared" si="7"/>
        <v>0</v>
      </c>
    </row>
    <row r="50" spans="1:18" ht="18" customHeight="1" x14ac:dyDescent="0.3">
      <c r="A50" s="16">
        <v>40</v>
      </c>
      <c r="B50" s="17" t="s">
        <v>408</v>
      </c>
      <c r="C50" s="18" t="s">
        <v>69</v>
      </c>
      <c r="D50" s="19" t="s">
        <v>70</v>
      </c>
      <c r="E50" s="20" t="s">
        <v>6</v>
      </c>
      <c r="F50" s="20">
        <v>2</v>
      </c>
      <c r="G50" s="110">
        <v>0</v>
      </c>
      <c r="H50" s="111">
        <v>0</v>
      </c>
      <c r="I50" s="108">
        <v>0.25</v>
      </c>
      <c r="J50" s="109">
        <f t="shared" si="2"/>
        <v>0.25</v>
      </c>
      <c r="K50" s="113">
        <f t="shared" si="8"/>
        <v>3</v>
      </c>
      <c r="L50" s="113">
        <f t="shared" si="3"/>
        <v>3</v>
      </c>
      <c r="M50" s="110">
        <v>3</v>
      </c>
      <c r="N50" s="112">
        <f t="shared" si="4"/>
        <v>3</v>
      </c>
      <c r="O50" s="61">
        <f>275*1.275</f>
        <v>350.625</v>
      </c>
      <c r="P50" s="21">
        <f t="shared" si="5"/>
        <v>1051.875</v>
      </c>
      <c r="Q50" s="128">
        <f t="shared" si="6"/>
        <v>0</v>
      </c>
      <c r="R50" s="128">
        <f t="shared" si="7"/>
        <v>0</v>
      </c>
    </row>
    <row r="51" spans="1:18" ht="25.75" customHeight="1" x14ac:dyDescent="0.3">
      <c r="A51" s="16">
        <v>41</v>
      </c>
      <c r="B51" s="17" t="s">
        <v>408</v>
      </c>
      <c r="C51" s="18" t="s">
        <v>71</v>
      </c>
      <c r="D51" s="19" t="s">
        <v>72</v>
      </c>
      <c r="E51" s="20" t="s">
        <v>6</v>
      </c>
      <c r="F51" s="20">
        <v>2</v>
      </c>
      <c r="G51" s="110">
        <v>0</v>
      </c>
      <c r="H51" s="111">
        <v>0</v>
      </c>
      <c r="I51" s="108">
        <v>0.25</v>
      </c>
      <c r="J51" s="109">
        <f t="shared" si="2"/>
        <v>0.25</v>
      </c>
      <c r="K51" s="113">
        <f t="shared" si="8"/>
        <v>3</v>
      </c>
      <c r="L51" s="113">
        <f t="shared" si="3"/>
        <v>3</v>
      </c>
      <c r="M51" s="110">
        <v>2</v>
      </c>
      <c r="N51" s="112">
        <f t="shared" si="4"/>
        <v>2</v>
      </c>
      <c r="O51" s="61">
        <f>450*1.275</f>
        <v>573.75</v>
      </c>
      <c r="P51" s="21">
        <f t="shared" si="5"/>
        <v>1147.5</v>
      </c>
      <c r="Q51" s="128">
        <f t="shared" si="6"/>
        <v>1</v>
      </c>
      <c r="R51" s="128">
        <f t="shared" si="7"/>
        <v>1</v>
      </c>
    </row>
    <row r="52" spans="1:18" ht="15" customHeight="1" x14ac:dyDescent="0.3">
      <c r="A52" s="62">
        <v>42</v>
      </c>
      <c r="B52" s="63" t="s">
        <v>408</v>
      </c>
      <c r="C52" s="64" t="s">
        <v>73</v>
      </c>
      <c r="D52" s="64" t="s">
        <v>74</v>
      </c>
      <c r="E52" s="65" t="s">
        <v>6</v>
      </c>
      <c r="F52" s="65">
        <v>2</v>
      </c>
      <c r="G52" s="110">
        <v>1</v>
      </c>
      <c r="H52" s="111">
        <v>1</v>
      </c>
      <c r="I52" s="110">
        <v>1</v>
      </c>
      <c r="J52" s="112">
        <f t="shared" si="2"/>
        <v>1</v>
      </c>
      <c r="K52" s="113">
        <f t="shared" si="8"/>
        <v>13</v>
      </c>
      <c r="L52" s="113">
        <f t="shared" si="3"/>
        <v>13</v>
      </c>
      <c r="M52" s="110">
        <v>12</v>
      </c>
      <c r="N52" s="112">
        <f t="shared" si="4"/>
        <v>12</v>
      </c>
      <c r="O52" s="61">
        <f>260*1.275</f>
        <v>331.5</v>
      </c>
      <c r="P52" s="21">
        <f t="shared" si="5"/>
        <v>3978</v>
      </c>
      <c r="Q52" s="128">
        <f t="shared" si="6"/>
        <v>1</v>
      </c>
      <c r="R52" s="128">
        <f t="shared" si="7"/>
        <v>1</v>
      </c>
    </row>
    <row r="53" spans="1:18" ht="15" customHeight="1" x14ac:dyDescent="0.3">
      <c r="A53" s="62">
        <v>43</v>
      </c>
      <c r="B53" s="63" t="s">
        <v>408</v>
      </c>
      <c r="C53" s="64" t="s">
        <v>75</v>
      </c>
      <c r="D53" s="64" t="s">
        <v>76</v>
      </c>
      <c r="E53" s="65" t="s">
        <v>6</v>
      </c>
      <c r="F53" s="65">
        <v>2</v>
      </c>
      <c r="G53" s="110">
        <v>2</v>
      </c>
      <c r="H53" s="111">
        <v>2</v>
      </c>
      <c r="I53" s="110">
        <v>1.75</v>
      </c>
      <c r="J53" s="112">
        <f t="shared" si="2"/>
        <v>1.75</v>
      </c>
      <c r="K53" s="113">
        <f t="shared" si="8"/>
        <v>23</v>
      </c>
      <c r="L53" s="113">
        <f t="shared" si="3"/>
        <v>23</v>
      </c>
      <c r="M53" s="110">
        <v>20</v>
      </c>
      <c r="N53" s="112">
        <f t="shared" si="4"/>
        <v>20</v>
      </c>
      <c r="O53" s="61">
        <f>307.2*1.275</f>
        <v>391.67999999999995</v>
      </c>
      <c r="P53" s="21">
        <f t="shared" si="5"/>
        <v>7833.5999999999985</v>
      </c>
      <c r="Q53" s="128">
        <f t="shared" si="6"/>
        <v>3</v>
      </c>
      <c r="R53" s="128">
        <f t="shared" si="7"/>
        <v>3</v>
      </c>
    </row>
    <row r="54" spans="1:18" ht="27.65" customHeight="1" x14ac:dyDescent="0.3">
      <c r="A54" s="16">
        <v>44</v>
      </c>
      <c r="B54" s="17" t="s">
        <v>408</v>
      </c>
      <c r="C54" s="18" t="s">
        <v>77</v>
      </c>
      <c r="D54" s="19" t="s">
        <v>78</v>
      </c>
      <c r="E54" s="20" t="s">
        <v>6</v>
      </c>
      <c r="F54" s="20">
        <v>2</v>
      </c>
      <c r="G54" s="110">
        <v>1</v>
      </c>
      <c r="H54" s="111">
        <v>1</v>
      </c>
      <c r="I54" s="108">
        <v>0.25</v>
      </c>
      <c r="J54" s="109">
        <f t="shared" si="2"/>
        <v>0.25</v>
      </c>
      <c r="K54" s="113">
        <f t="shared" si="8"/>
        <v>4</v>
      </c>
      <c r="L54" s="113">
        <f t="shared" si="3"/>
        <v>4</v>
      </c>
      <c r="M54" s="110">
        <v>2</v>
      </c>
      <c r="N54" s="112">
        <f t="shared" si="4"/>
        <v>2</v>
      </c>
      <c r="O54" s="61">
        <f>293.04*1.275</f>
        <v>373.62599999999998</v>
      </c>
      <c r="P54" s="21">
        <f t="shared" si="5"/>
        <v>747.25199999999995</v>
      </c>
      <c r="Q54" s="128">
        <f t="shared" si="6"/>
        <v>2</v>
      </c>
      <c r="R54" s="128">
        <f t="shared" si="7"/>
        <v>2</v>
      </c>
    </row>
    <row r="55" spans="1:18" ht="27.65" customHeight="1" x14ac:dyDescent="0.3">
      <c r="A55" s="16">
        <v>45</v>
      </c>
      <c r="B55" s="17" t="s">
        <v>408</v>
      </c>
      <c r="C55" s="18" t="s">
        <v>79</v>
      </c>
      <c r="D55" s="19" t="s">
        <v>80</v>
      </c>
      <c r="E55" s="20" t="s">
        <v>6</v>
      </c>
      <c r="F55" s="20">
        <v>2</v>
      </c>
      <c r="G55" s="110">
        <v>0</v>
      </c>
      <c r="H55" s="111">
        <v>0</v>
      </c>
      <c r="I55" s="108">
        <v>0.25</v>
      </c>
      <c r="J55" s="109">
        <f t="shared" si="2"/>
        <v>0.25</v>
      </c>
      <c r="K55" s="113">
        <f t="shared" si="8"/>
        <v>3</v>
      </c>
      <c r="L55" s="113">
        <f t="shared" si="3"/>
        <v>3</v>
      </c>
      <c r="M55" s="110">
        <v>3</v>
      </c>
      <c r="N55" s="112">
        <f t="shared" si="4"/>
        <v>3</v>
      </c>
      <c r="O55" s="61">
        <f>150*1.275</f>
        <v>191.25</v>
      </c>
      <c r="P55" s="21">
        <f t="shared" si="5"/>
        <v>573.75</v>
      </c>
      <c r="Q55" s="128">
        <f t="shared" si="6"/>
        <v>0</v>
      </c>
      <c r="R55" s="128">
        <f t="shared" si="7"/>
        <v>0</v>
      </c>
    </row>
    <row r="56" spans="1:18" ht="15" customHeight="1" x14ac:dyDescent="0.3">
      <c r="A56" s="62">
        <v>46</v>
      </c>
      <c r="B56" s="63" t="s">
        <v>408</v>
      </c>
      <c r="C56" s="64" t="s">
        <v>81</v>
      </c>
      <c r="D56" s="64" t="s">
        <v>82</v>
      </c>
      <c r="E56" s="65" t="s">
        <v>6</v>
      </c>
      <c r="F56" s="65">
        <v>2</v>
      </c>
      <c r="G56" s="110">
        <v>0</v>
      </c>
      <c r="H56" s="111">
        <v>0</v>
      </c>
      <c r="I56" s="108">
        <v>0.25</v>
      </c>
      <c r="J56" s="109">
        <f t="shared" si="2"/>
        <v>0.25</v>
      </c>
      <c r="K56" s="113">
        <f t="shared" si="8"/>
        <v>3</v>
      </c>
      <c r="L56" s="113">
        <f t="shared" si="3"/>
        <v>3</v>
      </c>
      <c r="M56" s="110">
        <v>3</v>
      </c>
      <c r="N56" s="112">
        <f t="shared" si="4"/>
        <v>3</v>
      </c>
      <c r="O56" s="61">
        <f>275*1.275</f>
        <v>350.625</v>
      </c>
      <c r="P56" s="21">
        <f t="shared" si="5"/>
        <v>1051.875</v>
      </c>
      <c r="Q56" s="128">
        <f t="shared" si="6"/>
        <v>0</v>
      </c>
      <c r="R56" s="128">
        <f t="shared" si="7"/>
        <v>0</v>
      </c>
    </row>
    <row r="57" spans="1:18" ht="15" customHeight="1" x14ac:dyDescent="0.3">
      <c r="A57" s="62">
        <v>47</v>
      </c>
      <c r="B57" s="63" t="s">
        <v>408</v>
      </c>
      <c r="C57" s="64" t="s">
        <v>83</v>
      </c>
      <c r="D57" s="64" t="s">
        <v>84</v>
      </c>
      <c r="E57" s="65" t="s">
        <v>6</v>
      </c>
      <c r="F57" s="65">
        <v>2</v>
      </c>
      <c r="G57" s="110">
        <v>42</v>
      </c>
      <c r="H57" s="111">
        <v>56</v>
      </c>
      <c r="I57" s="110">
        <v>22</v>
      </c>
      <c r="J57" s="112">
        <f t="shared" si="2"/>
        <v>29.333333333333332</v>
      </c>
      <c r="K57" s="113">
        <f t="shared" si="8"/>
        <v>306</v>
      </c>
      <c r="L57" s="113">
        <f t="shared" si="3"/>
        <v>408</v>
      </c>
      <c r="M57" s="110">
        <v>294</v>
      </c>
      <c r="N57" s="112">
        <f t="shared" si="4"/>
        <v>392</v>
      </c>
      <c r="O57" s="61">
        <f>180.77*1.275</f>
        <v>230.48175000000001</v>
      </c>
      <c r="P57" s="21">
        <f t="shared" si="5"/>
        <v>90348.846000000005</v>
      </c>
      <c r="Q57" s="128">
        <f t="shared" si="6"/>
        <v>12</v>
      </c>
      <c r="R57" s="128">
        <f t="shared" si="7"/>
        <v>16</v>
      </c>
    </row>
    <row r="58" spans="1:18" ht="15" customHeight="1" x14ac:dyDescent="0.3">
      <c r="A58" s="16">
        <v>48</v>
      </c>
      <c r="B58" s="17" t="s">
        <v>408</v>
      </c>
      <c r="C58" s="23" t="s">
        <v>85</v>
      </c>
      <c r="D58" s="26" t="s">
        <v>86</v>
      </c>
      <c r="E58" s="27" t="s">
        <v>6</v>
      </c>
      <c r="F58" s="27">
        <v>2</v>
      </c>
      <c r="G58" s="110">
        <v>0</v>
      </c>
      <c r="H58" s="111">
        <v>0</v>
      </c>
      <c r="I58" s="110">
        <v>10</v>
      </c>
      <c r="J58" s="112">
        <f t="shared" si="2"/>
        <v>10</v>
      </c>
      <c r="K58" s="113">
        <f t="shared" si="8"/>
        <v>120</v>
      </c>
      <c r="L58" s="113">
        <f t="shared" si="3"/>
        <v>120</v>
      </c>
      <c r="M58" s="110">
        <v>110</v>
      </c>
      <c r="N58" s="112">
        <f t="shared" si="4"/>
        <v>110</v>
      </c>
      <c r="O58" s="61">
        <f>1069.5*1.275</f>
        <v>1363.6125</v>
      </c>
      <c r="P58" s="21">
        <f t="shared" si="5"/>
        <v>149997.375</v>
      </c>
      <c r="Q58" s="128">
        <f t="shared" si="6"/>
        <v>10</v>
      </c>
      <c r="R58" s="128">
        <f t="shared" si="7"/>
        <v>10</v>
      </c>
    </row>
    <row r="59" spans="1:18" ht="24.65" customHeight="1" x14ac:dyDescent="0.3">
      <c r="A59" s="16">
        <v>49</v>
      </c>
      <c r="B59" s="17" t="s">
        <v>408</v>
      </c>
      <c r="C59" s="23">
        <v>49</v>
      </c>
      <c r="D59" s="26" t="s">
        <v>87</v>
      </c>
      <c r="E59" s="27" t="s">
        <v>6</v>
      </c>
      <c r="F59" s="27">
        <v>2</v>
      </c>
      <c r="G59" s="110">
        <v>0</v>
      </c>
      <c r="H59" s="111">
        <v>0</v>
      </c>
      <c r="I59" s="110">
        <v>5</v>
      </c>
      <c r="J59" s="112">
        <f t="shared" si="2"/>
        <v>5</v>
      </c>
      <c r="K59" s="113">
        <f t="shared" si="8"/>
        <v>60</v>
      </c>
      <c r="L59" s="113">
        <f t="shared" si="3"/>
        <v>60</v>
      </c>
      <c r="M59" s="110">
        <v>55</v>
      </c>
      <c r="N59" s="112">
        <f t="shared" si="4"/>
        <v>55</v>
      </c>
      <c r="O59" s="61">
        <f>240.77*1.275</f>
        <v>306.98174999999998</v>
      </c>
      <c r="P59" s="21">
        <f t="shared" si="5"/>
        <v>16883.99625</v>
      </c>
      <c r="Q59" s="128">
        <f t="shared" si="6"/>
        <v>5</v>
      </c>
      <c r="R59" s="128">
        <f t="shared" si="7"/>
        <v>5</v>
      </c>
    </row>
    <row r="60" spans="1:18" ht="15" customHeight="1" x14ac:dyDescent="0.3">
      <c r="A60" s="16">
        <v>50</v>
      </c>
      <c r="B60" s="17" t="s">
        <v>408</v>
      </c>
      <c r="C60" s="18">
        <v>50</v>
      </c>
      <c r="D60" s="19" t="s">
        <v>88</v>
      </c>
      <c r="E60" s="20" t="s">
        <v>6</v>
      </c>
      <c r="F60" s="20">
        <v>2</v>
      </c>
      <c r="G60" s="110">
        <v>0</v>
      </c>
      <c r="H60" s="111">
        <v>0</v>
      </c>
      <c r="I60" s="110">
        <v>5</v>
      </c>
      <c r="J60" s="112">
        <f t="shared" si="2"/>
        <v>5</v>
      </c>
      <c r="K60" s="113">
        <f t="shared" si="8"/>
        <v>60</v>
      </c>
      <c r="L60" s="113">
        <f t="shared" si="3"/>
        <v>60</v>
      </c>
      <c r="M60" s="110">
        <v>55</v>
      </c>
      <c r="N60" s="112">
        <f t="shared" si="4"/>
        <v>55</v>
      </c>
      <c r="O60" s="61">
        <f>446.07*1.275</f>
        <v>568.73924999999997</v>
      </c>
      <c r="P60" s="21">
        <f t="shared" si="5"/>
        <v>31280.658749999999</v>
      </c>
      <c r="Q60" s="128">
        <f t="shared" si="6"/>
        <v>5</v>
      </c>
      <c r="R60" s="128">
        <f t="shared" si="7"/>
        <v>5</v>
      </c>
    </row>
    <row r="61" spans="1:18" ht="25.25" customHeight="1" x14ac:dyDescent="0.3">
      <c r="A61" s="16">
        <v>51</v>
      </c>
      <c r="B61" s="17" t="s">
        <v>408</v>
      </c>
      <c r="C61" s="18">
        <v>51</v>
      </c>
      <c r="D61" s="19" t="s">
        <v>89</v>
      </c>
      <c r="E61" s="20" t="s">
        <v>6</v>
      </c>
      <c r="F61" s="20">
        <v>1</v>
      </c>
      <c r="G61" s="110">
        <v>0</v>
      </c>
      <c r="H61" s="111">
        <v>0</v>
      </c>
      <c r="I61" s="110">
        <v>0.5</v>
      </c>
      <c r="J61" s="112">
        <f t="shared" si="2"/>
        <v>0.5</v>
      </c>
      <c r="K61" s="113">
        <f t="shared" si="8"/>
        <v>6</v>
      </c>
      <c r="L61" s="113">
        <f t="shared" si="3"/>
        <v>6</v>
      </c>
      <c r="M61" s="110">
        <v>6</v>
      </c>
      <c r="N61" s="112">
        <f t="shared" si="4"/>
        <v>6</v>
      </c>
      <c r="O61" s="61">
        <f>117.5*1.275</f>
        <v>149.8125</v>
      </c>
      <c r="P61" s="21">
        <f t="shared" si="5"/>
        <v>898.875</v>
      </c>
      <c r="Q61" s="128">
        <f t="shared" si="6"/>
        <v>0</v>
      </c>
      <c r="R61" s="128">
        <f t="shared" si="7"/>
        <v>0</v>
      </c>
    </row>
    <row r="62" spans="1:18" ht="26.4" customHeight="1" x14ac:dyDescent="0.3">
      <c r="A62" s="62">
        <v>52</v>
      </c>
      <c r="B62" s="63" t="s">
        <v>408</v>
      </c>
      <c r="C62" s="64" t="s">
        <v>90</v>
      </c>
      <c r="D62" s="64" t="s">
        <v>91</v>
      </c>
      <c r="E62" s="65" t="s">
        <v>6</v>
      </c>
      <c r="F62" s="65">
        <v>1</v>
      </c>
      <c r="G62" s="110">
        <v>1</v>
      </c>
      <c r="H62" s="111">
        <v>1</v>
      </c>
      <c r="I62" s="108">
        <v>0.25</v>
      </c>
      <c r="J62" s="109">
        <f t="shared" si="2"/>
        <v>0.25</v>
      </c>
      <c r="K62" s="113">
        <f t="shared" si="8"/>
        <v>4</v>
      </c>
      <c r="L62" s="113">
        <f t="shared" si="3"/>
        <v>4</v>
      </c>
      <c r="M62" s="110">
        <v>4</v>
      </c>
      <c r="N62" s="112">
        <f t="shared" si="4"/>
        <v>4</v>
      </c>
      <c r="O62" s="61">
        <f>276.32*1.275</f>
        <v>352.30799999999999</v>
      </c>
      <c r="P62" s="21">
        <f t="shared" si="5"/>
        <v>1409.232</v>
      </c>
      <c r="Q62" s="128">
        <f t="shared" si="6"/>
        <v>0</v>
      </c>
      <c r="R62" s="128">
        <f t="shared" si="7"/>
        <v>0</v>
      </c>
    </row>
    <row r="63" spans="1:18" ht="26.4" customHeight="1" x14ac:dyDescent="0.3">
      <c r="A63" s="62">
        <v>53</v>
      </c>
      <c r="B63" s="63" t="s">
        <v>408</v>
      </c>
      <c r="C63" s="64" t="s">
        <v>92</v>
      </c>
      <c r="D63" s="64" t="s">
        <v>93</v>
      </c>
      <c r="E63" s="65" t="s">
        <v>6</v>
      </c>
      <c r="F63" s="65">
        <v>1</v>
      </c>
      <c r="G63" s="110">
        <v>1</v>
      </c>
      <c r="H63" s="111">
        <v>1</v>
      </c>
      <c r="I63" s="110">
        <v>0.5</v>
      </c>
      <c r="J63" s="112">
        <f t="shared" si="2"/>
        <v>0.5</v>
      </c>
      <c r="K63" s="113">
        <f t="shared" si="8"/>
        <v>7</v>
      </c>
      <c r="L63" s="113">
        <f t="shared" si="3"/>
        <v>7</v>
      </c>
      <c r="M63" s="110">
        <v>7</v>
      </c>
      <c r="N63" s="112">
        <f t="shared" si="4"/>
        <v>7</v>
      </c>
      <c r="O63" s="61">
        <f>165.02*1.275</f>
        <v>210.40049999999999</v>
      </c>
      <c r="P63" s="21">
        <f t="shared" si="5"/>
        <v>1472.8035</v>
      </c>
      <c r="Q63" s="128">
        <f t="shared" si="6"/>
        <v>0</v>
      </c>
      <c r="R63" s="128">
        <f t="shared" si="7"/>
        <v>0</v>
      </c>
    </row>
    <row r="64" spans="1:18" ht="15" customHeight="1" x14ac:dyDescent="0.3">
      <c r="A64" s="16">
        <v>54</v>
      </c>
      <c r="B64" s="17" t="s">
        <v>408</v>
      </c>
      <c r="C64" s="23" t="s">
        <v>94</v>
      </c>
      <c r="D64" s="26" t="s">
        <v>95</v>
      </c>
      <c r="E64" s="27" t="s">
        <v>6</v>
      </c>
      <c r="F64" s="27">
        <v>2</v>
      </c>
      <c r="G64" s="110">
        <v>4</v>
      </c>
      <c r="H64" s="111">
        <v>4</v>
      </c>
      <c r="I64" s="110">
        <v>3.5</v>
      </c>
      <c r="J64" s="112">
        <f t="shared" si="2"/>
        <v>3.5</v>
      </c>
      <c r="K64" s="113">
        <f t="shared" si="8"/>
        <v>46</v>
      </c>
      <c r="L64" s="113">
        <f t="shared" si="3"/>
        <v>46</v>
      </c>
      <c r="M64" s="110">
        <v>41</v>
      </c>
      <c r="N64" s="112">
        <f t="shared" si="4"/>
        <v>41</v>
      </c>
      <c r="O64" s="61">
        <f>180.77*1.275</f>
        <v>230.48175000000001</v>
      </c>
      <c r="P64" s="21">
        <f t="shared" si="5"/>
        <v>9449.7517499999994</v>
      </c>
      <c r="Q64" s="128">
        <f t="shared" si="6"/>
        <v>5</v>
      </c>
      <c r="R64" s="128">
        <f t="shared" si="7"/>
        <v>5</v>
      </c>
    </row>
    <row r="65" spans="1:18" ht="15" customHeight="1" x14ac:dyDescent="0.3">
      <c r="A65" s="16">
        <v>55</v>
      </c>
      <c r="B65" s="17" t="s">
        <v>408</v>
      </c>
      <c r="C65" s="18" t="s">
        <v>96</v>
      </c>
      <c r="D65" s="19" t="s">
        <v>97</v>
      </c>
      <c r="E65" s="20" t="s">
        <v>6</v>
      </c>
      <c r="F65" s="20">
        <v>2</v>
      </c>
      <c r="G65" s="110">
        <v>6</v>
      </c>
      <c r="H65" s="111">
        <v>10</v>
      </c>
      <c r="I65" s="110">
        <v>6</v>
      </c>
      <c r="J65" s="112">
        <f t="shared" si="2"/>
        <v>10</v>
      </c>
      <c r="K65" s="113">
        <f t="shared" si="8"/>
        <v>78</v>
      </c>
      <c r="L65" s="113">
        <f t="shared" si="3"/>
        <v>130</v>
      </c>
      <c r="M65" s="110">
        <v>72</v>
      </c>
      <c r="N65" s="112">
        <f t="shared" si="4"/>
        <v>120</v>
      </c>
      <c r="O65" s="61">
        <f>271.16*1.275</f>
        <v>345.72899999999998</v>
      </c>
      <c r="P65" s="21">
        <f t="shared" si="5"/>
        <v>41487.479999999996</v>
      </c>
      <c r="Q65" s="128">
        <f t="shared" si="6"/>
        <v>6</v>
      </c>
      <c r="R65" s="128">
        <f t="shared" si="7"/>
        <v>10</v>
      </c>
    </row>
    <row r="66" spans="1:18" ht="27.65" customHeight="1" x14ac:dyDescent="0.3">
      <c r="A66" s="16">
        <v>56</v>
      </c>
      <c r="B66" s="17" t="s">
        <v>408</v>
      </c>
      <c r="C66" s="18">
        <v>56</v>
      </c>
      <c r="D66" s="19" t="s">
        <v>98</v>
      </c>
      <c r="E66" s="20" t="s">
        <v>6</v>
      </c>
      <c r="F66" s="20">
        <v>2</v>
      </c>
      <c r="G66" s="110">
        <v>0</v>
      </c>
      <c r="H66" s="111">
        <v>0</v>
      </c>
      <c r="I66" s="108">
        <v>0.25</v>
      </c>
      <c r="J66" s="109">
        <f t="shared" si="2"/>
        <v>0.25</v>
      </c>
      <c r="K66" s="113">
        <f t="shared" si="8"/>
        <v>3</v>
      </c>
      <c r="L66" s="113">
        <f t="shared" si="3"/>
        <v>3</v>
      </c>
      <c r="M66" s="110">
        <v>2</v>
      </c>
      <c r="N66" s="112">
        <f t="shared" si="4"/>
        <v>2</v>
      </c>
      <c r="O66" s="61">
        <f>331.16*1.275</f>
        <v>422.22899999999998</v>
      </c>
      <c r="P66" s="21">
        <f t="shared" si="5"/>
        <v>844.45799999999997</v>
      </c>
      <c r="Q66" s="128">
        <f t="shared" si="6"/>
        <v>1</v>
      </c>
      <c r="R66" s="128">
        <f t="shared" si="7"/>
        <v>1</v>
      </c>
    </row>
    <row r="67" spans="1:18" ht="15" customHeight="1" x14ac:dyDescent="0.3">
      <c r="A67" s="62">
        <v>57</v>
      </c>
      <c r="B67" s="63" t="s">
        <v>408</v>
      </c>
      <c r="C67" s="64">
        <v>57</v>
      </c>
      <c r="D67" s="64" t="s">
        <v>99</v>
      </c>
      <c r="E67" s="65" t="s">
        <v>6</v>
      </c>
      <c r="F67" s="65">
        <v>2</v>
      </c>
      <c r="G67" s="110">
        <v>0</v>
      </c>
      <c r="H67" s="111">
        <v>0</v>
      </c>
      <c r="I67" s="108">
        <v>0.25</v>
      </c>
      <c r="J67" s="109">
        <f t="shared" si="2"/>
        <v>0.25</v>
      </c>
      <c r="K67" s="113">
        <f t="shared" si="8"/>
        <v>3</v>
      </c>
      <c r="L67" s="113">
        <f t="shared" si="3"/>
        <v>3</v>
      </c>
      <c r="M67" s="110">
        <v>3</v>
      </c>
      <c r="N67" s="112">
        <f t="shared" si="4"/>
        <v>3</v>
      </c>
      <c r="O67" s="61">
        <f>356.46*1.275</f>
        <v>454.48649999999992</v>
      </c>
      <c r="P67" s="21">
        <f t="shared" si="5"/>
        <v>1363.4594999999997</v>
      </c>
      <c r="Q67" s="128">
        <f t="shared" si="6"/>
        <v>0</v>
      </c>
      <c r="R67" s="128">
        <f t="shared" si="7"/>
        <v>0</v>
      </c>
    </row>
    <row r="68" spans="1:18" ht="27" customHeight="1" x14ac:dyDescent="0.3">
      <c r="A68" s="62">
        <v>58</v>
      </c>
      <c r="B68" s="63" t="s">
        <v>408</v>
      </c>
      <c r="C68" s="64" t="s">
        <v>100</v>
      </c>
      <c r="D68" s="64" t="s">
        <v>101</v>
      </c>
      <c r="E68" s="65" t="s">
        <v>6</v>
      </c>
      <c r="F68" s="65">
        <v>2</v>
      </c>
      <c r="G68" s="110">
        <v>1</v>
      </c>
      <c r="H68" s="111">
        <v>2</v>
      </c>
      <c r="I68" s="110">
        <v>1</v>
      </c>
      <c r="J68" s="112">
        <f t="shared" si="2"/>
        <v>2</v>
      </c>
      <c r="K68" s="113">
        <f t="shared" si="8"/>
        <v>13</v>
      </c>
      <c r="L68" s="113">
        <f t="shared" si="3"/>
        <v>26</v>
      </c>
      <c r="M68" s="110">
        <v>12</v>
      </c>
      <c r="N68" s="112">
        <f t="shared" si="4"/>
        <v>24</v>
      </c>
      <c r="O68" s="61">
        <f>289.23*1.275</f>
        <v>368.76825000000002</v>
      </c>
      <c r="P68" s="21">
        <f t="shared" si="5"/>
        <v>8850.4380000000001</v>
      </c>
      <c r="Q68" s="128">
        <f t="shared" si="6"/>
        <v>1</v>
      </c>
      <c r="R68" s="128">
        <f t="shared" si="7"/>
        <v>2</v>
      </c>
    </row>
    <row r="69" spans="1:18" ht="27" customHeight="1" x14ac:dyDescent="0.3">
      <c r="A69" s="16">
        <v>59</v>
      </c>
      <c r="B69" s="17" t="s">
        <v>408</v>
      </c>
      <c r="C69" s="18" t="s">
        <v>102</v>
      </c>
      <c r="D69" s="19" t="s">
        <v>413</v>
      </c>
      <c r="E69" s="20" t="s">
        <v>6</v>
      </c>
      <c r="F69" s="20">
        <v>2</v>
      </c>
      <c r="G69" s="110">
        <v>0</v>
      </c>
      <c r="H69" s="111">
        <v>0</v>
      </c>
      <c r="I69" s="108">
        <v>0.25</v>
      </c>
      <c r="J69" s="109">
        <f t="shared" si="2"/>
        <v>0.25</v>
      </c>
      <c r="K69" s="113">
        <f t="shared" si="8"/>
        <v>3</v>
      </c>
      <c r="L69" s="113">
        <f t="shared" si="3"/>
        <v>3</v>
      </c>
      <c r="M69" s="110">
        <v>2</v>
      </c>
      <c r="N69" s="112">
        <f t="shared" si="4"/>
        <v>2</v>
      </c>
      <c r="O69" s="61">
        <f>301.42*1.275</f>
        <v>384.31049999999999</v>
      </c>
      <c r="P69" s="21">
        <f t="shared" si="5"/>
        <v>768.62099999999998</v>
      </c>
      <c r="Q69" s="128">
        <f t="shared" si="6"/>
        <v>1</v>
      </c>
      <c r="R69" s="128">
        <f t="shared" si="7"/>
        <v>1</v>
      </c>
    </row>
    <row r="70" spans="1:18" ht="15" customHeight="1" x14ac:dyDescent="0.3">
      <c r="A70" s="16">
        <v>60</v>
      </c>
      <c r="B70" s="17" t="s">
        <v>408</v>
      </c>
      <c r="C70" s="18" t="s">
        <v>103</v>
      </c>
      <c r="D70" s="19" t="s">
        <v>104</v>
      </c>
      <c r="E70" s="20" t="s">
        <v>6</v>
      </c>
      <c r="F70" s="20">
        <v>2</v>
      </c>
      <c r="G70" s="110">
        <v>0</v>
      </c>
      <c r="H70" s="111">
        <v>0</v>
      </c>
      <c r="I70" s="108">
        <v>0.25</v>
      </c>
      <c r="J70" s="109">
        <f t="shared" si="2"/>
        <v>0.25</v>
      </c>
      <c r="K70" s="113">
        <f t="shared" si="8"/>
        <v>3</v>
      </c>
      <c r="L70" s="113">
        <f t="shared" si="3"/>
        <v>3</v>
      </c>
      <c r="M70" s="110">
        <v>1</v>
      </c>
      <c r="N70" s="112">
        <f t="shared" si="4"/>
        <v>1</v>
      </c>
      <c r="O70" s="61">
        <f>301.42*1.275</f>
        <v>384.31049999999999</v>
      </c>
      <c r="P70" s="21">
        <f t="shared" si="5"/>
        <v>384.31049999999999</v>
      </c>
      <c r="Q70" s="128">
        <f t="shared" si="6"/>
        <v>2</v>
      </c>
      <c r="R70" s="128">
        <f t="shared" si="7"/>
        <v>2</v>
      </c>
    </row>
    <row r="71" spans="1:18" ht="15" customHeight="1" x14ac:dyDescent="0.3">
      <c r="A71" s="62">
        <v>61</v>
      </c>
      <c r="B71" s="63" t="s">
        <v>408</v>
      </c>
      <c r="C71" s="64" t="s">
        <v>105</v>
      </c>
      <c r="D71" s="64" t="s">
        <v>106</v>
      </c>
      <c r="E71" s="65" t="s">
        <v>6</v>
      </c>
      <c r="F71" s="65">
        <v>2</v>
      </c>
      <c r="G71" s="110">
        <v>1</v>
      </c>
      <c r="H71" s="111">
        <v>2</v>
      </c>
      <c r="I71" s="110">
        <v>0.75</v>
      </c>
      <c r="J71" s="112">
        <f t="shared" si="2"/>
        <v>1.5</v>
      </c>
      <c r="K71" s="113">
        <f t="shared" si="8"/>
        <v>10</v>
      </c>
      <c r="L71" s="113">
        <f t="shared" si="3"/>
        <v>20</v>
      </c>
      <c r="M71" s="110">
        <v>10</v>
      </c>
      <c r="N71" s="112">
        <f t="shared" si="4"/>
        <v>20</v>
      </c>
      <c r="O71" s="61">
        <f>307.31*1.275</f>
        <v>391.82024999999999</v>
      </c>
      <c r="P71" s="21">
        <f t="shared" si="5"/>
        <v>7836.4049999999997</v>
      </c>
      <c r="Q71" s="128">
        <f t="shared" si="6"/>
        <v>0</v>
      </c>
      <c r="R71" s="128">
        <f t="shared" si="7"/>
        <v>0</v>
      </c>
    </row>
    <row r="72" spans="1:18" ht="15" customHeight="1" x14ac:dyDescent="0.3">
      <c r="A72" s="62">
        <v>62</v>
      </c>
      <c r="B72" s="63" t="s">
        <v>408</v>
      </c>
      <c r="C72" s="64" t="s">
        <v>107</v>
      </c>
      <c r="D72" s="64" t="s">
        <v>108</v>
      </c>
      <c r="E72" s="65" t="s">
        <v>6</v>
      </c>
      <c r="F72" s="65">
        <v>2</v>
      </c>
      <c r="G72" s="110">
        <v>4</v>
      </c>
      <c r="H72" s="111">
        <v>8</v>
      </c>
      <c r="I72" s="110">
        <v>3.75</v>
      </c>
      <c r="J72" s="112">
        <f t="shared" ref="J72:J135" si="15">IF(G72=0,I72,I72*(H72/G72))</f>
        <v>7.5</v>
      </c>
      <c r="K72" s="113">
        <f t="shared" ref="K72:K135" si="16">G72+(I72*12)</f>
        <v>49</v>
      </c>
      <c r="L72" s="113">
        <f t="shared" ref="L72:L135" si="17">H72+(J72*12)</f>
        <v>98</v>
      </c>
      <c r="M72" s="110">
        <v>44</v>
      </c>
      <c r="N72" s="112">
        <f t="shared" ref="N72:N135" si="18">IF(G72=0,M72,M72*(H72/G72))</f>
        <v>88</v>
      </c>
      <c r="O72" s="61">
        <f>361.54*1.275</f>
        <v>460.96350000000001</v>
      </c>
      <c r="P72" s="21">
        <f t="shared" ref="P72:P135" si="19">O72*N72</f>
        <v>40564.788</v>
      </c>
      <c r="Q72" s="128">
        <f t="shared" ref="Q72:Q135" si="20">K72-M72</f>
        <v>5</v>
      </c>
      <c r="R72" s="128">
        <f t="shared" ref="R72:R135" si="21">L72-N72</f>
        <v>10</v>
      </c>
    </row>
    <row r="73" spans="1:18" ht="30.65" customHeight="1" x14ac:dyDescent="0.3">
      <c r="A73" s="16">
        <v>63</v>
      </c>
      <c r="B73" s="17" t="s">
        <v>408</v>
      </c>
      <c r="C73" s="18">
        <v>63</v>
      </c>
      <c r="D73" s="19" t="s">
        <v>109</v>
      </c>
      <c r="E73" s="20" t="s">
        <v>6</v>
      </c>
      <c r="F73" s="20">
        <v>2</v>
      </c>
      <c r="G73" s="110">
        <v>0</v>
      </c>
      <c r="H73" s="111">
        <v>0</v>
      </c>
      <c r="I73" s="108">
        <v>0.25</v>
      </c>
      <c r="J73" s="109">
        <f t="shared" si="15"/>
        <v>0.25</v>
      </c>
      <c r="K73" s="113">
        <f t="shared" si="16"/>
        <v>3</v>
      </c>
      <c r="L73" s="113">
        <f t="shared" si="17"/>
        <v>3</v>
      </c>
      <c r="M73" s="110">
        <v>3</v>
      </c>
      <c r="N73" s="112">
        <f t="shared" si="18"/>
        <v>3</v>
      </c>
      <c r="O73" s="61">
        <f>421.54*1.275</f>
        <v>537.46349999999995</v>
      </c>
      <c r="P73" s="21">
        <f t="shared" si="19"/>
        <v>1612.3905</v>
      </c>
      <c r="Q73" s="128">
        <f t="shared" si="20"/>
        <v>0</v>
      </c>
      <c r="R73" s="128">
        <f t="shared" si="21"/>
        <v>0</v>
      </c>
    </row>
    <row r="74" spans="1:18" ht="15" customHeight="1" x14ac:dyDescent="0.3">
      <c r="A74" s="16">
        <v>64</v>
      </c>
      <c r="B74" s="17" t="s">
        <v>408</v>
      </c>
      <c r="C74" s="18">
        <v>64</v>
      </c>
      <c r="D74" s="19" t="s">
        <v>110</v>
      </c>
      <c r="E74" s="20" t="s">
        <v>6</v>
      </c>
      <c r="F74" s="20">
        <v>2</v>
      </c>
      <c r="G74" s="110">
        <v>0</v>
      </c>
      <c r="H74" s="111">
        <v>0</v>
      </c>
      <c r="I74" s="108">
        <v>0.25</v>
      </c>
      <c r="J74" s="109">
        <f t="shared" si="15"/>
        <v>0.25</v>
      </c>
      <c r="K74" s="113">
        <f t="shared" si="16"/>
        <v>3</v>
      </c>
      <c r="L74" s="113">
        <f t="shared" si="17"/>
        <v>3</v>
      </c>
      <c r="M74" s="110">
        <v>3</v>
      </c>
      <c r="N74" s="112">
        <f t="shared" si="18"/>
        <v>3</v>
      </c>
      <c r="O74" s="61">
        <f>626.84*1.275</f>
        <v>799.221</v>
      </c>
      <c r="P74" s="21">
        <f t="shared" si="19"/>
        <v>2397.663</v>
      </c>
      <c r="Q74" s="128">
        <f t="shared" si="20"/>
        <v>0</v>
      </c>
      <c r="R74" s="128">
        <f t="shared" si="21"/>
        <v>0</v>
      </c>
    </row>
    <row r="75" spans="1:18" ht="15" customHeight="1" x14ac:dyDescent="0.3">
      <c r="A75" s="62">
        <v>65</v>
      </c>
      <c r="B75" s="63" t="s">
        <v>408</v>
      </c>
      <c r="C75" s="64">
        <v>65</v>
      </c>
      <c r="D75" s="64" t="s">
        <v>111</v>
      </c>
      <c r="E75" s="65" t="s">
        <v>6</v>
      </c>
      <c r="F75" s="65">
        <v>2</v>
      </c>
      <c r="G75" s="110">
        <v>0</v>
      </c>
      <c r="H75" s="111">
        <v>0</v>
      </c>
      <c r="I75" s="108">
        <v>0.25</v>
      </c>
      <c r="J75" s="109">
        <f t="shared" si="15"/>
        <v>0.25</v>
      </c>
      <c r="K75" s="113">
        <f t="shared" si="16"/>
        <v>3</v>
      </c>
      <c r="L75" s="113">
        <f t="shared" si="17"/>
        <v>3</v>
      </c>
      <c r="M75" s="110">
        <v>2</v>
      </c>
      <c r="N75" s="112">
        <f t="shared" si="18"/>
        <v>2</v>
      </c>
      <c r="O75" s="61">
        <f>6290.48*1.275</f>
        <v>8020.3619999999992</v>
      </c>
      <c r="P75" s="21">
        <f t="shared" si="19"/>
        <v>16040.723999999998</v>
      </c>
      <c r="Q75" s="128">
        <f t="shared" si="20"/>
        <v>1</v>
      </c>
      <c r="R75" s="128">
        <f t="shared" si="21"/>
        <v>1</v>
      </c>
    </row>
    <row r="76" spans="1:18" ht="15" customHeight="1" x14ac:dyDescent="0.3">
      <c r="A76" s="62">
        <v>66</v>
      </c>
      <c r="B76" s="63" t="s">
        <v>408</v>
      </c>
      <c r="C76" s="64" t="s">
        <v>112</v>
      </c>
      <c r="D76" s="64" t="s">
        <v>113</v>
      </c>
      <c r="E76" s="65" t="s">
        <v>6</v>
      </c>
      <c r="F76" s="65">
        <v>2</v>
      </c>
      <c r="G76" s="110">
        <v>2</v>
      </c>
      <c r="H76" s="111">
        <v>2</v>
      </c>
      <c r="I76" s="110">
        <v>2.25</v>
      </c>
      <c r="J76" s="112">
        <f t="shared" si="15"/>
        <v>2.25</v>
      </c>
      <c r="K76" s="113">
        <f t="shared" si="16"/>
        <v>29</v>
      </c>
      <c r="L76" s="113">
        <f t="shared" si="17"/>
        <v>29</v>
      </c>
      <c r="M76" s="110">
        <v>26</v>
      </c>
      <c r="N76" s="112">
        <f t="shared" si="18"/>
        <v>26</v>
      </c>
      <c r="O76" s="61">
        <f>89.16*1.275</f>
        <v>113.67899999999999</v>
      </c>
      <c r="P76" s="21">
        <f t="shared" si="19"/>
        <v>2955.6539999999995</v>
      </c>
      <c r="Q76" s="128">
        <f t="shared" si="20"/>
        <v>3</v>
      </c>
      <c r="R76" s="128">
        <f t="shared" si="21"/>
        <v>3</v>
      </c>
    </row>
    <row r="77" spans="1:18" ht="15" customHeight="1" x14ac:dyDescent="0.3">
      <c r="A77" s="16">
        <v>67</v>
      </c>
      <c r="B77" s="17" t="s">
        <v>408</v>
      </c>
      <c r="C77" s="23" t="s">
        <v>114</v>
      </c>
      <c r="D77" s="26" t="s">
        <v>115</v>
      </c>
      <c r="E77" s="27" t="s">
        <v>6</v>
      </c>
      <c r="F77" s="27">
        <v>2</v>
      </c>
      <c r="G77" s="110">
        <v>1</v>
      </c>
      <c r="H77" s="111">
        <v>2</v>
      </c>
      <c r="I77" s="110">
        <v>1</v>
      </c>
      <c r="J77" s="112">
        <f t="shared" si="15"/>
        <v>2</v>
      </c>
      <c r="K77" s="113">
        <f t="shared" si="16"/>
        <v>13</v>
      </c>
      <c r="L77" s="113">
        <f t="shared" si="17"/>
        <v>26</v>
      </c>
      <c r="M77" s="110">
        <v>12</v>
      </c>
      <c r="N77" s="112">
        <f t="shared" si="18"/>
        <v>24</v>
      </c>
      <c r="O77" s="61">
        <f>270*1.275</f>
        <v>344.25</v>
      </c>
      <c r="P77" s="21">
        <f t="shared" si="19"/>
        <v>8262</v>
      </c>
      <c r="Q77" s="128">
        <f t="shared" si="20"/>
        <v>1</v>
      </c>
      <c r="R77" s="128">
        <f t="shared" si="21"/>
        <v>2</v>
      </c>
    </row>
    <row r="78" spans="1:18" ht="24.65" customHeight="1" x14ac:dyDescent="0.3">
      <c r="A78" s="16">
        <v>68</v>
      </c>
      <c r="B78" s="17" t="s">
        <v>408</v>
      </c>
      <c r="C78" s="18" t="s">
        <v>116</v>
      </c>
      <c r="D78" s="19" t="s">
        <v>117</v>
      </c>
      <c r="E78" s="20" t="s">
        <v>6</v>
      </c>
      <c r="F78" s="20">
        <v>2</v>
      </c>
      <c r="G78" s="110">
        <v>1</v>
      </c>
      <c r="H78" s="111">
        <v>1</v>
      </c>
      <c r="I78" s="108">
        <v>0.25</v>
      </c>
      <c r="J78" s="109">
        <f t="shared" si="15"/>
        <v>0.25</v>
      </c>
      <c r="K78" s="113">
        <f t="shared" si="16"/>
        <v>4</v>
      </c>
      <c r="L78" s="113">
        <f t="shared" si="17"/>
        <v>4</v>
      </c>
      <c r="M78" s="110">
        <v>2</v>
      </c>
      <c r="N78" s="112">
        <f t="shared" si="18"/>
        <v>2</v>
      </c>
      <c r="O78" s="61">
        <f>294*1.275</f>
        <v>374.84999999999997</v>
      </c>
      <c r="P78" s="21">
        <f t="shared" si="19"/>
        <v>749.69999999999993</v>
      </c>
      <c r="Q78" s="128">
        <f t="shared" si="20"/>
        <v>2</v>
      </c>
      <c r="R78" s="128">
        <f t="shared" si="21"/>
        <v>2</v>
      </c>
    </row>
    <row r="79" spans="1:18" ht="24.65" customHeight="1" x14ac:dyDescent="0.3">
      <c r="A79" s="16">
        <v>69</v>
      </c>
      <c r="B79" s="17" t="s">
        <v>408</v>
      </c>
      <c r="C79" s="18" t="s">
        <v>118</v>
      </c>
      <c r="D79" s="19" t="s">
        <v>119</v>
      </c>
      <c r="E79" s="20" t="s">
        <v>6</v>
      </c>
      <c r="F79" s="20">
        <v>2</v>
      </c>
      <c r="G79" s="110">
        <v>1</v>
      </c>
      <c r="H79" s="111">
        <v>1</v>
      </c>
      <c r="I79" s="110">
        <v>0.5</v>
      </c>
      <c r="J79" s="112">
        <f t="shared" si="15"/>
        <v>0.5</v>
      </c>
      <c r="K79" s="113">
        <f t="shared" si="16"/>
        <v>7</v>
      </c>
      <c r="L79" s="113">
        <f t="shared" si="17"/>
        <v>7</v>
      </c>
      <c r="M79" s="110">
        <v>6</v>
      </c>
      <c r="N79" s="112">
        <f t="shared" si="18"/>
        <v>6</v>
      </c>
      <c r="O79" s="61">
        <f>294*1.275</f>
        <v>374.84999999999997</v>
      </c>
      <c r="P79" s="21">
        <f t="shared" si="19"/>
        <v>2249.1</v>
      </c>
      <c r="Q79" s="128">
        <f t="shared" si="20"/>
        <v>1</v>
      </c>
      <c r="R79" s="128">
        <f t="shared" si="21"/>
        <v>1</v>
      </c>
    </row>
    <row r="80" spans="1:18" ht="15" customHeight="1" x14ac:dyDescent="0.3">
      <c r="A80" s="62">
        <v>70</v>
      </c>
      <c r="B80" s="63" t="s">
        <v>408</v>
      </c>
      <c r="C80" s="64">
        <v>70</v>
      </c>
      <c r="D80" s="64" t="s">
        <v>120</v>
      </c>
      <c r="E80" s="65" t="s">
        <v>6</v>
      </c>
      <c r="F80" s="65">
        <v>2</v>
      </c>
      <c r="G80" s="110">
        <v>0</v>
      </c>
      <c r="H80" s="111">
        <v>0</v>
      </c>
      <c r="I80" s="108">
        <v>0.25</v>
      </c>
      <c r="J80" s="109">
        <f t="shared" si="15"/>
        <v>0.25</v>
      </c>
      <c r="K80" s="113">
        <f t="shared" si="16"/>
        <v>3</v>
      </c>
      <c r="L80" s="113">
        <f t="shared" si="17"/>
        <v>3</v>
      </c>
      <c r="M80" s="110">
        <v>1</v>
      </c>
      <c r="N80" s="112">
        <f t="shared" si="18"/>
        <v>1</v>
      </c>
      <c r="O80" s="61">
        <f>750*1.275</f>
        <v>956.24999999999989</v>
      </c>
      <c r="P80" s="21">
        <f t="shared" si="19"/>
        <v>956.24999999999989</v>
      </c>
      <c r="Q80" s="128">
        <f t="shared" si="20"/>
        <v>2</v>
      </c>
      <c r="R80" s="128">
        <f t="shared" si="21"/>
        <v>2</v>
      </c>
    </row>
    <row r="81" spans="1:18" ht="15" customHeight="1" x14ac:dyDescent="0.3">
      <c r="A81" s="62">
        <v>71</v>
      </c>
      <c r="B81" s="63" t="s">
        <v>408</v>
      </c>
      <c r="C81" s="64" t="s">
        <v>121</v>
      </c>
      <c r="D81" s="64" t="s">
        <v>122</v>
      </c>
      <c r="E81" s="65" t="s">
        <v>6</v>
      </c>
      <c r="F81" s="65">
        <v>2</v>
      </c>
      <c r="G81" s="110">
        <v>1</v>
      </c>
      <c r="H81" s="111">
        <v>1</v>
      </c>
      <c r="I81" s="110">
        <v>1</v>
      </c>
      <c r="J81" s="112">
        <f t="shared" si="15"/>
        <v>1</v>
      </c>
      <c r="K81" s="113">
        <f t="shared" si="16"/>
        <v>13</v>
      </c>
      <c r="L81" s="113">
        <f t="shared" si="17"/>
        <v>13</v>
      </c>
      <c r="M81" s="110">
        <v>12</v>
      </c>
      <c r="N81" s="112">
        <f t="shared" si="18"/>
        <v>12</v>
      </c>
      <c r="O81" s="61">
        <f>294*1.275</f>
        <v>374.84999999999997</v>
      </c>
      <c r="P81" s="21">
        <f t="shared" si="19"/>
        <v>4498.2</v>
      </c>
      <c r="Q81" s="128">
        <f t="shared" si="20"/>
        <v>1</v>
      </c>
      <c r="R81" s="128">
        <f t="shared" si="21"/>
        <v>1</v>
      </c>
    </row>
    <row r="82" spans="1:18" ht="15" customHeight="1" x14ac:dyDescent="0.3">
      <c r="A82" s="16">
        <v>72</v>
      </c>
      <c r="B82" s="17" t="s">
        <v>408</v>
      </c>
      <c r="C82" s="18" t="s">
        <v>123</v>
      </c>
      <c r="D82" s="19" t="s">
        <v>124</v>
      </c>
      <c r="E82" s="20" t="s">
        <v>6</v>
      </c>
      <c r="F82" s="20">
        <v>2</v>
      </c>
      <c r="G82" s="110">
        <v>0</v>
      </c>
      <c r="H82" s="111">
        <v>0</v>
      </c>
      <c r="I82" s="108">
        <v>0.25</v>
      </c>
      <c r="J82" s="109">
        <f t="shared" si="15"/>
        <v>0.25</v>
      </c>
      <c r="K82" s="113">
        <f t="shared" si="16"/>
        <v>3</v>
      </c>
      <c r="L82" s="113">
        <f t="shared" si="17"/>
        <v>3</v>
      </c>
      <c r="M82" s="110">
        <v>1</v>
      </c>
      <c r="N82" s="112">
        <f t="shared" si="18"/>
        <v>1</v>
      </c>
      <c r="O82" s="61">
        <f>330*1.275</f>
        <v>420.74999999999994</v>
      </c>
      <c r="P82" s="21">
        <f t="shared" si="19"/>
        <v>420.74999999999994</v>
      </c>
      <c r="Q82" s="128">
        <f t="shared" si="20"/>
        <v>2</v>
      </c>
      <c r="R82" s="128">
        <f t="shared" si="21"/>
        <v>2</v>
      </c>
    </row>
    <row r="83" spans="1:18" ht="15" customHeight="1" x14ac:dyDescent="0.3">
      <c r="A83" s="16">
        <v>73</v>
      </c>
      <c r="B83" s="17" t="s">
        <v>408</v>
      </c>
      <c r="C83" s="18" t="s">
        <v>125</v>
      </c>
      <c r="D83" s="19" t="s">
        <v>126</v>
      </c>
      <c r="E83" s="20" t="s">
        <v>6</v>
      </c>
      <c r="F83" s="20">
        <v>2</v>
      </c>
      <c r="G83" s="110">
        <v>0</v>
      </c>
      <c r="H83" s="111">
        <v>0</v>
      </c>
      <c r="I83" s="108">
        <v>0.25</v>
      </c>
      <c r="J83" s="109">
        <f t="shared" si="15"/>
        <v>0.25</v>
      </c>
      <c r="K83" s="113">
        <f t="shared" si="16"/>
        <v>3</v>
      </c>
      <c r="L83" s="113">
        <f t="shared" si="17"/>
        <v>3</v>
      </c>
      <c r="M83" s="110">
        <v>1</v>
      </c>
      <c r="N83" s="112">
        <f t="shared" si="18"/>
        <v>1</v>
      </c>
      <c r="O83" s="61">
        <f>303.76*1.275</f>
        <v>387.29399999999998</v>
      </c>
      <c r="P83" s="21">
        <f t="shared" si="19"/>
        <v>387.29399999999998</v>
      </c>
      <c r="Q83" s="128">
        <f t="shared" si="20"/>
        <v>2</v>
      </c>
      <c r="R83" s="128">
        <f t="shared" si="21"/>
        <v>2</v>
      </c>
    </row>
    <row r="84" spans="1:18" ht="15" customHeight="1" x14ac:dyDescent="0.3">
      <c r="A84" s="16">
        <v>74</v>
      </c>
      <c r="B84" s="17" t="s">
        <v>408</v>
      </c>
      <c r="C84" s="18" t="s">
        <v>127</v>
      </c>
      <c r="D84" s="19" t="s">
        <v>128</v>
      </c>
      <c r="E84" s="20" t="s">
        <v>6</v>
      </c>
      <c r="F84" s="20">
        <v>2</v>
      </c>
      <c r="G84" s="110">
        <v>2</v>
      </c>
      <c r="H84" s="111">
        <v>2</v>
      </c>
      <c r="I84" s="110">
        <v>1.25</v>
      </c>
      <c r="J84" s="112">
        <f t="shared" si="15"/>
        <v>1.25</v>
      </c>
      <c r="K84" s="113">
        <f t="shared" si="16"/>
        <v>17</v>
      </c>
      <c r="L84" s="113">
        <f t="shared" si="17"/>
        <v>17</v>
      </c>
      <c r="M84" s="110">
        <v>16</v>
      </c>
      <c r="N84" s="112">
        <f t="shared" si="18"/>
        <v>16</v>
      </c>
      <c r="O84" s="61">
        <f>550*1.275</f>
        <v>701.25</v>
      </c>
      <c r="P84" s="21">
        <f t="shared" si="19"/>
        <v>11220</v>
      </c>
      <c r="Q84" s="128">
        <f t="shared" si="20"/>
        <v>1</v>
      </c>
      <c r="R84" s="128">
        <f t="shared" si="21"/>
        <v>1</v>
      </c>
    </row>
    <row r="85" spans="1:18" ht="15" customHeight="1" x14ac:dyDescent="0.3">
      <c r="A85" s="16">
        <v>75</v>
      </c>
      <c r="B85" s="17" t="s">
        <v>408</v>
      </c>
      <c r="C85" s="18" t="s">
        <v>129</v>
      </c>
      <c r="D85" s="19" t="s">
        <v>130</v>
      </c>
      <c r="E85" s="20" t="s">
        <v>6</v>
      </c>
      <c r="F85" s="20">
        <v>2</v>
      </c>
      <c r="G85" s="110">
        <v>0</v>
      </c>
      <c r="H85" s="111">
        <v>0</v>
      </c>
      <c r="I85" s="108">
        <v>0.25</v>
      </c>
      <c r="J85" s="109">
        <f t="shared" si="15"/>
        <v>0.25</v>
      </c>
      <c r="K85" s="113">
        <f t="shared" si="16"/>
        <v>3</v>
      </c>
      <c r="L85" s="113">
        <f t="shared" si="17"/>
        <v>3</v>
      </c>
      <c r="M85" s="110">
        <v>2</v>
      </c>
      <c r="N85" s="112">
        <f t="shared" si="18"/>
        <v>2</v>
      </c>
      <c r="O85" s="61">
        <f>450*1.275</f>
        <v>573.75</v>
      </c>
      <c r="P85" s="21">
        <f t="shared" si="19"/>
        <v>1147.5</v>
      </c>
      <c r="Q85" s="128">
        <f t="shared" si="20"/>
        <v>1</v>
      </c>
      <c r="R85" s="128">
        <f t="shared" si="21"/>
        <v>1</v>
      </c>
    </row>
    <row r="86" spans="1:18" ht="15" customHeight="1" x14ac:dyDescent="0.3">
      <c r="A86" s="62">
        <v>76</v>
      </c>
      <c r="B86" s="63" t="s">
        <v>408</v>
      </c>
      <c r="C86" s="64" t="s">
        <v>131</v>
      </c>
      <c r="D86" s="64" t="s">
        <v>132</v>
      </c>
      <c r="E86" s="65" t="s">
        <v>6</v>
      </c>
      <c r="F86" s="65">
        <v>2</v>
      </c>
      <c r="G86" s="110">
        <v>1</v>
      </c>
      <c r="H86" s="111">
        <v>3</v>
      </c>
      <c r="I86" s="110">
        <v>1.5</v>
      </c>
      <c r="J86" s="112">
        <f t="shared" si="15"/>
        <v>4.5</v>
      </c>
      <c r="K86" s="113">
        <f t="shared" si="16"/>
        <v>19</v>
      </c>
      <c r="L86" s="113">
        <f t="shared" si="17"/>
        <v>57</v>
      </c>
      <c r="M86" s="110">
        <v>17</v>
      </c>
      <c r="N86" s="112">
        <f t="shared" si="18"/>
        <v>51</v>
      </c>
      <c r="O86" s="61">
        <f>567.5*1.275</f>
        <v>723.5625</v>
      </c>
      <c r="P86" s="21">
        <f t="shared" si="19"/>
        <v>36901.6875</v>
      </c>
      <c r="Q86" s="128">
        <f t="shared" si="20"/>
        <v>2</v>
      </c>
      <c r="R86" s="128">
        <f t="shared" si="21"/>
        <v>6</v>
      </c>
    </row>
    <row r="87" spans="1:18" ht="15" customHeight="1" x14ac:dyDescent="0.3">
      <c r="A87" s="62">
        <v>77</v>
      </c>
      <c r="B87" s="63" t="s">
        <v>408</v>
      </c>
      <c r="C87" s="64" t="s">
        <v>133</v>
      </c>
      <c r="D87" s="64" t="s">
        <v>134</v>
      </c>
      <c r="E87" s="65" t="s">
        <v>6</v>
      </c>
      <c r="F87" s="65">
        <v>2</v>
      </c>
      <c r="G87" s="110">
        <v>0</v>
      </c>
      <c r="H87" s="111">
        <v>0</v>
      </c>
      <c r="I87" s="108">
        <v>0.25</v>
      </c>
      <c r="J87" s="109">
        <f t="shared" si="15"/>
        <v>0.25</v>
      </c>
      <c r="K87" s="113">
        <f t="shared" si="16"/>
        <v>3</v>
      </c>
      <c r="L87" s="113">
        <f t="shared" si="17"/>
        <v>3</v>
      </c>
      <c r="M87" s="110">
        <v>1</v>
      </c>
      <c r="N87" s="112">
        <f t="shared" si="18"/>
        <v>1</v>
      </c>
      <c r="O87" s="61">
        <f>400*1.275</f>
        <v>509.99999999999994</v>
      </c>
      <c r="P87" s="21">
        <f t="shared" si="19"/>
        <v>509.99999999999994</v>
      </c>
      <c r="Q87" s="128">
        <f t="shared" si="20"/>
        <v>2</v>
      </c>
      <c r="R87" s="128">
        <f t="shared" si="21"/>
        <v>2</v>
      </c>
    </row>
    <row r="88" spans="1:18" s="15" customFormat="1" ht="15" customHeight="1" x14ac:dyDescent="0.3">
      <c r="A88" s="257" t="s">
        <v>404</v>
      </c>
      <c r="B88" s="257"/>
      <c r="C88" s="257"/>
      <c r="D88" s="257"/>
      <c r="E88" s="257"/>
      <c r="F88" s="257"/>
      <c r="G88" s="126">
        <f>SUM(G89:G113)</f>
        <v>224</v>
      </c>
      <c r="H88" s="126">
        <f t="shared" ref="H88:R88" si="22">SUM(H89:H113)</f>
        <v>334</v>
      </c>
      <c r="I88" s="126">
        <f t="shared" si="22"/>
        <v>222.25</v>
      </c>
      <c r="J88" s="126">
        <f t="shared" si="22"/>
        <v>332.25</v>
      </c>
      <c r="K88" s="126">
        <f t="shared" si="22"/>
        <v>2891</v>
      </c>
      <c r="L88" s="126">
        <f t="shared" si="22"/>
        <v>4321</v>
      </c>
      <c r="M88" s="126">
        <f t="shared" si="22"/>
        <v>2664</v>
      </c>
      <c r="N88" s="126">
        <f t="shared" ref="N88" si="23">SUM(N89:N113)</f>
        <v>3984</v>
      </c>
      <c r="O88" s="71" t="s">
        <v>426</v>
      </c>
      <c r="P88" s="25">
        <f t="shared" si="22"/>
        <v>723316.84250000003</v>
      </c>
      <c r="Q88" s="126">
        <f>SUM(Q89:Q113)</f>
        <v>227</v>
      </c>
      <c r="R88" s="126">
        <f t="shared" si="22"/>
        <v>337</v>
      </c>
    </row>
    <row r="89" spans="1:18" ht="15" customHeight="1" x14ac:dyDescent="0.3">
      <c r="A89" s="16">
        <v>78</v>
      </c>
      <c r="B89" s="17" t="s">
        <v>409</v>
      </c>
      <c r="C89" s="18" t="s">
        <v>135</v>
      </c>
      <c r="D89" s="19" t="s">
        <v>136</v>
      </c>
      <c r="E89" s="20" t="s">
        <v>6</v>
      </c>
      <c r="F89" s="20">
        <v>2</v>
      </c>
      <c r="G89" s="110">
        <v>0</v>
      </c>
      <c r="H89" s="111">
        <v>0</v>
      </c>
      <c r="I89" s="108">
        <v>0.25</v>
      </c>
      <c r="J89" s="109">
        <f t="shared" si="15"/>
        <v>0.25</v>
      </c>
      <c r="K89" s="113">
        <f t="shared" si="16"/>
        <v>3</v>
      </c>
      <c r="L89" s="113">
        <f t="shared" si="17"/>
        <v>3</v>
      </c>
      <c r="M89" s="110">
        <v>3</v>
      </c>
      <c r="N89" s="112">
        <f t="shared" si="18"/>
        <v>3</v>
      </c>
      <c r="O89" s="61">
        <f>98.2*1.275</f>
        <v>125.205</v>
      </c>
      <c r="P89" s="21">
        <f t="shared" si="19"/>
        <v>375.61500000000001</v>
      </c>
      <c r="Q89" s="128">
        <f t="shared" si="20"/>
        <v>0</v>
      </c>
      <c r="R89" s="128">
        <f t="shared" si="21"/>
        <v>0</v>
      </c>
    </row>
    <row r="90" spans="1:18" ht="15" customHeight="1" x14ac:dyDescent="0.3">
      <c r="A90" s="16">
        <v>79</v>
      </c>
      <c r="B90" s="17" t="s">
        <v>409</v>
      </c>
      <c r="C90" s="18" t="s">
        <v>137</v>
      </c>
      <c r="D90" s="19" t="s">
        <v>138</v>
      </c>
      <c r="E90" s="20" t="s">
        <v>6</v>
      </c>
      <c r="F90" s="20">
        <v>2</v>
      </c>
      <c r="G90" s="110">
        <v>76</v>
      </c>
      <c r="H90" s="111">
        <v>98</v>
      </c>
      <c r="I90" s="110">
        <v>76</v>
      </c>
      <c r="J90" s="112">
        <f t="shared" si="15"/>
        <v>98</v>
      </c>
      <c r="K90" s="113">
        <f t="shared" si="16"/>
        <v>988</v>
      </c>
      <c r="L90" s="113">
        <f t="shared" si="17"/>
        <v>1274</v>
      </c>
      <c r="M90" s="110">
        <v>912</v>
      </c>
      <c r="N90" s="112">
        <f t="shared" si="18"/>
        <v>1176</v>
      </c>
      <c r="O90" s="61">
        <f>122.75*1.275</f>
        <v>156.50624999999999</v>
      </c>
      <c r="P90" s="21">
        <f t="shared" si="19"/>
        <v>184051.35</v>
      </c>
      <c r="Q90" s="128">
        <f t="shared" si="20"/>
        <v>76</v>
      </c>
      <c r="R90" s="128">
        <f t="shared" si="21"/>
        <v>98</v>
      </c>
    </row>
    <row r="91" spans="1:18" ht="15" customHeight="1" x14ac:dyDescent="0.3">
      <c r="A91" s="62">
        <v>80</v>
      </c>
      <c r="B91" s="63" t="s">
        <v>409</v>
      </c>
      <c r="C91" s="64" t="s">
        <v>139</v>
      </c>
      <c r="D91" s="64" t="s">
        <v>140</v>
      </c>
      <c r="E91" s="65" t="s">
        <v>6</v>
      </c>
      <c r="F91" s="65">
        <v>2</v>
      </c>
      <c r="G91" s="110">
        <v>1</v>
      </c>
      <c r="H91" s="111">
        <v>1</v>
      </c>
      <c r="I91" s="110">
        <v>0.5</v>
      </c>
      <c r="J91" s="112">
        <f t="shared" si="15"/>
        <v>0.5</v>
      </c>
      <c r="K91" s="113">
        <f t="shared" si="16"/>
        <v>7</v>
      </c>
      <c r="L91" s="113">
        <f t="shared" si="17"/>
        <v>7</v>
      </c>
      <c r="M91" s="110">
        <v>6</v>
      </c>
      <c r="N91" s="112">
        <f t="shared" si="18"/>
        <v>6</v>
      </c>
      <c r="O91" s="61">
        <f>13.94*1.275</f>
        <v>17.773499999999999</v>
      </c>
      <c r="P91" s="21">
        <f t="shared" si="19"/>
        <v>106.64099999999999</v>
      </c>
      <c r="Q91" s="128">
        <f t="shared" si="20"/>
        <v>1</v>
      </c>
      <c r="R91" s="128">
        <f t="shared" si="21"/>
        <v>1</v>
      </c>
    </row>
    <row r="92" spans="1:18" ht="15" customHeight="1" x14ac:dyDescent="0.3">
      <c r="A92" s="62">
        <v>81</v>
      </c>
      <c r="B92" s="63" t="s">
        <v>409</v>
      </c>
      <c r="C92" s="64" t="s">
        <v>141</v>
      </c>
      <c r="D92" s="64" t="s">
        <v>142</v>
      </c>
      <c r="E92" s="65" t="s">
        <v>6</v>
      </c>
      <c r="F92" s="65">
        <v>2</v>
      </c>
      <c r="G92" s="110">
        <v>4</v>
      </c>
      <c r="H92" s="111">
        <v>5</v>
      </c>
      <c r="I92" s="110">
        <v>4</v>
      </c>
      <c r="J92" s="112">
        <f t="shared" si="15"/>
        <v>5</v>
      </c>
      <c r="K92" s="113">
        <f t="shared" si="16"/>
        <v>52</v>
      </c>
      <c r="L92" s="113">
        <f t="shared" si="17"/>
        <v>65</v>
      </c>
      <c r="M92" s="110">
        <v>48</v>
      </c>
      <c r="N92" s="112">
        <f t="shared" si="18"/>
        <v>60</v>
      </c>
      <c r="O92" s="61">
        <f>155.49*1.275</f>
        <v>198.24975000000001</v>
      </c>
      <c r="P92" s="21">
        <f t="shared" si="19"/>
        <v>11894.985000000001</v>
      </c>
      <c r="Q92" s="128">
        <f t="shared" si="20"/>
        <v>4</v>
      </c>
      <c r="R92" s="128">
        <f t="shared" si="21"/>
        <v>5</v>
      </c>
    </row>
    <row r="93" spans="1:18" ht="15" customHeight="1" x14ac:dyDescent="0.3">
      <c r="A93" s="16">
        <v>82</v>
      </c>
      <c r="B93" s="16" t="s">
        <v>409</v>
      </c>
      <c r="C93" s="23" t="s">
        <v>143</v>
      </c>
      <c r="D93" s="26" t="s">
        <v>144</v>
      </c>
      <c r="E93" s="27" t="s">
        <v>6</v>
      </c>
      <c r="F93" s="27">
        <v>2</v>
      </c>
      <c r="G93" s="110">
        <v>9</v>
      </c>
      <c r="H93" s="111">
        <v>10</v>
      </c>
      <c r="I93" s="110">
        <v>9</v>
      </c>
      <c r="J93" s="112">
        <f t="shared" si="15"/>
        <v>10</v>
      </c>
      <c r="K93" s="113">
        <f t="shared" si="16"/>
        <v>117</v>
      </c>
      <c r="L93" s="113">
        <f t="shared" si="17"/>
        <v>130</v>
      </c>
      <c r="M93" s="110">
        <v>108</v>
      </c>
      <c r="N93" s="112">
        <f t="shared" si="18"/>
        <v>120</v>
      </c>
      <c r="O93" s="61">
        <f>163.67*1.275</f>
        <v>208.67924999999997</v>
      </c>
      <c r="P93" s="21">
        <f t="shared" si="19"/>
        <v>25041.509999999995</v>
      </c>
      <c r="Q93" s="128">
        <f t="shared" si="20"/>
        <v>9</v>
      </c>
      <c r="R93" s="128">
        <f t="shared" si="21"/>
        <v>10</v>
      </c>
    </row>
    <row r="94" spans="1:18" ht="15" customHeight="1" x14ac:dyDescent="0.3">
      <c r="A94" s="16">
        <v>83</v>
      </c>
      <c r="B94" s="16" t="s">
        <v>409</v>
      </c>
      <c r="C94" s="23" t="s">
        <v>145</v>
      </c>
      <c r="D94" s="26" t="s">
        <v>146</v>
      </c>
      <c r="E94" s="27" t="s">
        <v>6</v>
      </c>
      <c r="F94" s="27">
        <v>2</v>
      </c>
      <c r="G94" s="110">
        <v>5</v>
      </c>
      <c r="H94" s="111">
        <v>6</v>
      </c>
      <c r="I94" s="110">
        <v>5</v>
      </c>
      <c r="J94" s="112">
        <f t="shared" si="15"/>
        <v>6</v>
      </c>
      <c r="K94" s="113">
        <f t="shared" si="16"/>
        <v>65</v>
      </c>
      <c r="L94" s="113">
        <f t="shared" si="17"/>
        <v>78</v>
      </c>
      <c r="M94" s="110">
        <v>60</v>
      </c>
      <c r="N94" s="112">
        <f t="shared" si="18"/>
        <v>72</v>
      </c>
      <c r="O94" s="61">
        <f>65.47*1.275</f>
        <v>83.474249999999998</v>
      </c>
      <c r="P94" s="21">
        <f t="shared" si="19"/>
        <v>6010.1459999999997</v>
      </c>
      <c r="Q94" s="128">
        <f t="shared" si="20"/>
        <v>5</v>
      </c>
      <c r="R94" s="128">
        <f t="shared" si="21"/>
        <v>6</v>
      </c>
    </row>
    <row r="95" spans="1:18" ht="15" customHeight="1" x14ac:dyDescent="0.3">
      <c r="A95" s="16">
        <v>84</v>
      </c>
      <c r="B95" s="17" t="s">
        <v>409</v>
      </c>
      <c r="C95" s="18" t="s">
        <v>147</v>
      </c>
      <c r="D95" s="19" t="s">
        <v>148</v>
      </c>
      <c r="E95" s="20" t="s">
        <v>6</v>
      </c>
      <c r="F95" s="20">
        <v>2</v>
      </c>
      <c r="G95" s="110">
        <v>1</v>
      </c>
      <c r="H95" s="111">
        <v>1</v>
      </c>
      <c r="I95" s="108">
        <v>0.25</v>
      </c>
      <c r="J95" s="109">
        <f t="shared" si="15"/>
        <v>0.25</v>
      </c>
      <c r="K95" s="113">
        <f t="shared" si="16"/>
        <v>4</v>
      </c>
      <c r="L95" s="113">
        <f t="shared" si="17"/>
        <v>4</v>
      </c>
      <c r="M95" s="110">
        <v>4</v>
      </c>
      <c r="N95" s="112">
        <f t="shared" si="18"/>
        <v>4</v>
      </c>
      <c r="O95" s="61">
        <f>155.49*1.275</f>
        <v>198.24975000000001</v>
      </c>
      <c r="P95" s="21">
        <f t="shared" si="19"/>
        <v>792.99900000000002</v>
      </c>
      <c r="Q95" s="128">
        <f t="shared" si="20"/>
        <v>0</v>
      </c>
      <c r="R95" s="128">
        <f t="shared" si="21"/>
        <v>0</v>
      </c>
    </row>
    <row r="96" spans="1:18" ht="15" customHeight="1" x14ac:dyDescent="0.3">
      <c r="A96" s="16">
        <v>85</v>
      </c>
      <c r="B96" s="17" t="s">
        <v>409</v>
      </c>
      <c r="C96" s="18" t="s">
        <v>149</v>
      </c>
      <c r="D96" s="19" t="s">
        <v>150</v>
      </c>
      <c r="E96" s="20" t="s">
        <v>6</v>
      </c>
      <c r="F96" s="20">
        <v>2</v>
      </c>
      <c r="G96" s="110">
        <v>1</v>
      </c>
      <c r="H96" s="111">
        <v>1</v>
      </c>
      <c r="I96" s="110">
        <v>1</v>
      </c>
      <c r="J96" s="112">
        <f t="shared" si="15"/>
        <v>1</v>
      </c>
      <c r="K96" s="113">
        <f t="shared" si="16"/>
        <v>13</v>
      </c>
      <c r="L96" s="113">
        <f t="shared" si="17"/>
        <v>13</v>
      </c>
      <c r="M96" s="110">
        <v>12</v>
      </c>
      <c r="N96" s="112">
        <f t="shared" si="18"/>
        <v>12</v>
      </c>
      <c r="O96" s="61">
        <f>229.14*1.275</f>
        <v>292.15349999999995</v>
      </c>
      <c r="P96" s="21">
        <f t="shared" si="19"/>
        <v>3505.8419999999996</v>
      </c>
      <c r="Q96" s="128">
        <f t="shared" si="20"/>
        <v>1</v>
      </c>
      <c r="R96" s="128">
        <f t="shared" si="21"/>
        <v>1</v>
      </c>
    </row>
    <row r="97" spans="1:18" ht="15" customHeight="1" x14ac:dyDescent="0.3">
      <c r="A97" s="62">
        <v>86</v>
      </c>
      <c r="B97" s="63" t="s">
        <v>409</v>
      </c>
      <c r="C97" s="64" t="s">
        <v>151</v>
      </c>
      <c r="D97" s="64" t="s">
        <v>152</v>
      </c>
      <c r="E97" s="65" t="s">
        <v>6</v>
      </c>
      <c r="F97" s="65">
        <v>2</v>
      </c>
      <c r="G97" s="110">
        <v>3</v>
      </c>
      <c r="H97" s="111">
        <v>3</v>
      </c>
      <c r="I97" s="110">
        <v>3</v>
      </c>
      <c r="J97" s="112">
        <f t="shared" si="15"/>
        <v>3</v>
      </c>
      <c r="K97" s="113">
        <f t="shared" si="16"/>
        <v>39</v>
      </c>
      <c r="L97" s="113">
        <f t="shared" si="17"/>
        <v>39</v>
      </c>
      <c r="M97" s="110">
        <v>36</v>
      </c>
      <c r="N97" s="112">
        <f t="shared" si="18"/>
        <v>36</v>
      </c>
      <c r="O97" s="61">
        <f>98.2*1.275</f>
        <v>125.205</v>
      </c>
      <c r="P97" s="21">
        <f t="shared" si="19"/>
        <v>4507.38</v>
      </c>
      <c r="Q97" s="128">
        <f t="shared" si="20"/>
        <v>3</v>
      </c>
      <c r="R97" s="128">
        <f t="shared" si="21"/>
        <v>3</v>
      </c>
    </row>
    <row r="98" spans="1:18" ht="15" customHeight="1" x14ac:dyDescent="0.3">
      <c r="A98" s="62">
        <v>87</v>
      </c>
      <c r="B98" s="63" t="s">
        <v>409</v>
      </c>
      <c r="C98" s="64">
        <v>87</v>
      </c>
      <c r="D98" s="64" t="s">
        <v>153</v>
      </c>
      <c r="E98" s="65" t="s">
        <v>6</v>
      </c>
      <c r="F98" s="65">
        <v>2</v>
      </c>
      <c r="G98" s="110">
        <v>0</v>
      </c>
      <c r="H98" s="111">
        <v>0</v>
      </c>
      <c r="I98" s="108">
        <v>0.25</v>
      </c>
      <c r="J98" s="109">
        <f t="shared" si="15"/>
        <v>0.25</v>
      </c>
      <c r="K98" s="113">
        <f t="shared" si="16"/>
        <v>3</v>
      </c>
      <c r="L98" s="113">
        <f t="shared" si="17"/>
        <v>3</v>
      </c>
      <c r="M98" s="110">
        <v>3</v>
      </c>
      <c r="N98" s="112">
        <f t="shared" si="18"/>
        <v>3</v>
      </c>
      <c r="O98" s="61">
        <f>98.2*1.275</f>
        <v>125.205</v>
      </c>
      <c r="P98" s="21">
        <f t="shared" si="19"/>
        <v>375.61500000000001</v>
      </c>
      <c r="Q98" s="128">
        <f t="shared" si="20"/>
        <v>0</v>
      </c>
      <c r="R98" s="128">
        <f t="shared" si="21"/>
        <v>0</v>
      </c>
    </row>
    <row r="99" spans="1:18" ht="15" customHeight="1" x14ac:dyDescent="0.3">
      <c r="A99" s="16">
        <v>88</v>
      </c>
      <c r="B99" s="16" t="s">
        <v>409</v>
      </c>
      <c r="C99" s="23" t="s">
        <v>154</v>
      </c>
      <c r="D99" s="26" t="s">
        <v>155</v>
      </c>
      <c r="E99" s="27" t="s">
        <v>6</v>
      </c>
      <c r="F99" s="27">
        <v>2</v>
      </c>
      <c r="G99" s="110">
        <v>44</v>
      </c>
      <c r="H99" s="111">
        <v>85</v>
      </c>
      <c r="I99" s="110">
        <v>44</v>
      </c>
      <c r="J99" s="112">
        <f t="shared" si="15"/>
        <v>85</v>
      </c>
      <c r="K99" s="113">
        <f t="shared" si="16"/>
        <v>572</v>
      </c>
      <c r="L99" s="113">
        <f t="shared" si="17"/>
        <v>1105</v>
      </c>
      <c r="M99" s="110">
        <v>528</v>
      </c>
      <c r="N99" s="112">
        <f t="shared" si="18"/>
        <v>1020</v>
      </c>
      <c r="O99" s="61">
        <f>147.3*1.275</f>
        <v>187.8075</v>
      </c>
      <c r="P99" s="21">
        <f t="shared" si="19"/>
        <v>191563.65</v>
      </c>
      <c r="Q99" s="128">
        <f t="shared" si="20"/>
        <v>44</v>
      </c>
      <c r="R99" s="128">
        <f t="shared" si="21"/>
        <v>85</v>
      </c>
    </row>
    <row r="100" spans="1:18" ht="15" customHeight="1" x14ac:dyDescent="0.3">
      <c r="A100" s="16">
        <v>89</v>
      </c>
      <c r="B100" s="17" t="s">
        <v>409</v>
      </c>
      <c r="C100" s="18" t="s">
        <v>156</v>
      </c>
      <c r="D100" s="19" t="s">
        <v>157</v>
      </c>
      <c r="E100" s="20" t="s">
        <v>6</v>
      </c>
      <c r="F100" s="20">
        <v>2</v>
      </c>
      <c r="G100" s="110">
        <v>18</v>
      </c>
      <c r="H100" s="111">
        <v>30</v>
      </c>
      <c r="I100" s="110">
        <v>18</v>
      </c>
      <c r="J100" s="112">
        <f t="shared" si="15"/>
        <v>30</v>
      </c>
      <c r="K100" s="113">
        <f t="shared" si="16"/>
        <v>234</v>
      </c>
      <c r="L100" s="113">
        <f t="shared" si="17"/>
        <v>390</v>
      </c>
      <c r="M100" s="110">
        <v>216</v>
      </c>
      <c r="N100" s="112">
        <f t="shared" si="18"/>
        <v>360</v>
      </c>
      <c r="O100" s="61">
        <f>163.67*1.275</f>
        <v>208.67924999999997</v>
      </c>
      <c r="P100" s="21">
        <f t="shared" si="19"/>
        <v>75124.529999999984</v>
      </c>
      <c r="Q100" s="128">
        <f t="shared" si="20"/>
        <v>18</v>
      </c>
      <c r="R100" s="128">
        <f t="shared" si="21"/>
        <v>30</v>
      </c>
    </row>
    <row r="101" spans="1:18" ht="15" customHeight="1" x14ac:dyDescent="0.3">
      <c r="A101" s="16">
        <v>90</v>
      </c>
      <c r="B101" s="17" t="s">
        <v>409</v>
      </c>
      <c r="C101" s="18" t="s">
        <v>158</v>
      </c>
      <c r="D101" s="19" t="s">
        <v>159</v>
      </c>
      <c r="E101" s="20" t="s">
        <v>6</v>
      </c>
      <c r="F101" s="20">
        <v>2</v>
      </c>
      <c r="G101" s="110">
        <v>5</v>
      </c>
      <c r="H101" s="111">
        <v>6</v>
      </c>
      <c r="I101" s="110">
        <v>5</v>
      </c>
      <c r="J101" s="112">
        <f t="shared" si="15"/>
        <v>6</v>
      </c>
      <c r="K101" s="113">
        <f t="shared" si="16"/>
        <v>65</v>
      </c>
      <c r="L101" s="113">
        <f t="shared" si="17"/>
        <v>78</v>
      </c>
      <c r="M101" s="110">
        <v>60</v>
      </c>
      <c r="N101" s="112">
        <f t="shared" si="18"/>
        <v>72</v>
      </c>
      <c r="O101" s="61">
        <f>106.39*1.275</f>
        <v>135.64724999999999</v>
      </c>
      <c r="P101" s="21">
        <f t="shared" si="19"/>
        <v>9766.601999999999</v>
      </c>
      <c r="Q101" s="128">
        <f t="shared" si="20"/>
        <v>5</v>
      </c>
      <c r="R101" s="128">
        <f t="shared" si="21"/>
        <v>6</v>
      </c>
    </row>
    <row r="102" spans="1:18" ht="15" customHeight="1" x14ac:dyDescent="0.3">
      <c r="A102" s="62">
        <v>91</v>
      </c>
      <c r="B102" s="63" t="s">
        <v>409</v>
      </c>
      <c r="C102" s="64" t="s">
        <v>160</v>
      </c>
      <c r="D102" s="64" t="s">
        <v>161</v>
      </c>
      <c r="E102" s="65" t="s">
        <v>6</v>
      </c>
      <c r="F102" s="65">
        <v>2</v>
      </c>
      <c r="G102" s="110">
        <v>0</v>
      </c>
      <c r="H102" s="111">
        <v>0</v>
      </c>
      <c r="I102" s="108">
        <v>0.25</v>
      </c>
      <c r="J102" s="109">
        <f t="shared" si="15"/>
        <v>0.25</v>
      </c>
      <c r="K102" s="113">
        <f t="shared" si="16"/>
        <v>3</v>
      </c>
      <c r="L102" s="113">
        <f t="shared" si="17"/>
        <v>3</v>
      </c>
      <c r="M102" s="110">
        <v>2</v>
      </c>
      <c r="N102" s="112">
        <f t="shared" si="18"/>
        <v>2</v>
      </c>
      <c r="O102" s="61">
        <f>171.85*1.275</f>
        <v>219.10874999999999</v>
      </c>
      <c r="P102" s="21">
        <f t="shared" si="19"/>
        <v>438.21749999999997</v>
      </c>
      <c r="Q102" s="128">
        <f t="shared" si="20"/>
        <v>1</v>
      </c>
      <c r="R102" s="128">
        <f t="shared" si="21"/>
        <v>1</v>
      </c>
    </row>
    <row r="103" spans="1:18" ht="15" customHeight="1" x14ac:dyDescent="0.3">
      <c r="A103" s="62">
        <v>92</v>
      </c>
      <c r="B103" s="63" t="s">
        <v>409</v>
      </c>
      <c r="C103" s="64" t="s">
        <v>162</v>
      </c>
      <c r="D103" s="64" t="s">
        <v>163</v>
      </c>
      <c r="E103" s="65" t="s">
        <v>6</v>
      </c>
      <c r="F103" s="65">
        <v>2</v>
      </c>
      <c r="G103" s="110">
        <v>2</v>
      </c>
      <c r="H103" s="111">
        <v>3</v>
      </c>
      <c r="I103" s="110">
        <v>2</v>
      </c>
      <c r="J103" s="112">
        <f t="shared" si="15"/>
        <v>3</v>
      </c>
      <c r="K103" s="113">
        <f t="shared" si="16"/>
        <v>26</v>
      </c>
      <c r="L103" s="113">
        <f t="shared" si="17"/>
        <v>39</v>
      </c>
      <c r="M103" s="110">
        <v>24</v>
      </c>
      <c r="N103" s="112">
        <f t="shared" si="18"/>
        <v>36</v>
      </c>
      <c r="O103" s="61">
        <f>180.04*1.275</f>
        <v>229.55099999999999</v>
      </c>
      <c r="P103" s="21">
        <f t="shared" si="19"/>
        <v>8263.8359999999993</v>
      </c>
      <c r="Q103" s="128">
        <f t="shared" si="20"/>
        <v>2</v>
      </c>
      <c r="R103" s="128">
        <f t="shared" si="21"/>
        <v>3</v>
      </c>
    </row>
    <row r="104" spans="1:18" ht="15" customHeight="1" x14ac:dyDescent="0.3">
      <c r="A104" s="16">
        <v>93</v>
      </c>
      <c r="B104" s="16" t="s">
        <v>409</v>
      </c>
      <c r="C104" s="23" t="s">
        <v>164</v>
      </c>
      <c r="D104" s="26" t="s">
        <v>165</v>
      </c>
      <c r="E104" s="27" t="s">
        <v>6</v>
      </c>
      <c r="F104" s="27">
        <v>2</v>
      </c>
      <c r="G104" s="110">
        <v>3</v>
      </c>
      <c r="H104" s="111">
        <v>4</v>
      </c>
      <c r="I104" s="110">
        <v>3</v>
      </c>
      <c r="J104" s="112">
        <f t="shared" si="15"/>
        <v>4</v>
      </c>
      <c r="K104" s="113">
        <f t="shared" si="16"/>
        <v>39</v>
      </c>
      <c r="L104" s="113">
        <f t="shared" si="17"/>
        <v>52</v>
      </c>
      <c r="M104" s="110">
        <v>36</v>
      </c>
      <c r="N104" s="112">
        <f t="shared" si="18"/>
        <v>48</v>
      </c>
      <c r="O104" s="61">
        <f>18.22*1.275</f>
        <v>23.230499999999996</v>
      </c>
      <c r="P104" s="21">
        <f t="shared" si="19"/>
        <v>1115.0639999999999</v>
      </c>
      <c r="Q104" s="128">
        <f t="shared" si="20"/>
        <v>3</v>
      </c>
      <c r="R104" s="128">
        <f t="shared" si="21"/>
        <v>4</v>
      </c>
    </row>
    <row r="105" spans="1:18" ht="15" customHeight="1" x14ac:dyDescent="0.3">
      <c r="A105" s="16">
        <v>94</v>
      </c>
      <c r="B105" s="17" t="s">
        <v>409</v>
      </c>
      <c r="C105" s="18" t="s">
        <v>166</v>
      </c>
      <c r="D105" s="19" t="s">
        <v>167</v>
      </c>
      <c r="E105" s="20" t="s">
        <v>6</v>
      </c>
      <c r="F105" s="20">
        <v>2</v>
      </c>
      <c r="G105" s="110">
        <v>1</v>
      </c>
      <c r="H105" s="111">
        <v>1</v>
      </c>
      <c r="I105" s="108">
        <v>0.25</v>
      </c>
      <c r="J105" s="109">
        <f t="shared" si="15"/>
        <v>0.25</v>
      </c>
      <c r="K105" s="113">
        <f t="shared" si="16"/>
        <v>4</v>
      </c>
      <c r="L105" s="113">
        <f t="shared" si="17"/>
        <v>4</v>
      </c>
      <c r="M105" s="110">
        <v>3</v>
      </c>
      <c r="N105" s="112">
        <f t="shared" si="18"/>
        <v>3</v>
      </c>
      <c r="O105" s="61">
        <f>194.4*1.275</f>
        <v>247.85999999999999</v>
      </c>
      <c r="P105" s="21">
        <f t="shared" si="19"/>
        <v>743.57999999999993</v>
      </c>
      <c r="Q105" s="128">
        <f t="shared" si="20"/>
        <v>1</v>
      </c>
      <c r="R105" s="128">
        <f t="shared" si="21"/>
        <v>1</v>
      </c>
    </row>
    <row r="106" spans="1:18" ht="15" customHeight="1" x14ac:dyDescent="0.3">
      <c r="A106" s="16">
        <v>95</v>
      </c>
      <c r="B106" s="17" t="s">
        <v>409</v>
      </c>
      <c r="C106" s="18" t="s">
        <v>168</v>
      </c>
      <c r="D106" s="19" t="s">
        <v>169</v>
      </c>
      <c r="E106" s="20" t="s">
        <v>6</v>
      </c>
      <c r="F106" s="20">
        <v>2</v>
      </c>
      <c r="G106" s="110">
        <v>10</v>
      </c>
      <c r="H106" s="111">
        <v>15</v>
      </c>
      <c r="I106" s="110">
        <v>10</v>
      </c>
      <c r="J106" s="112">
        <f t="shared" si="15"/>
        <v>15</v>
      </c>
      <c r="K106" s="113">
        <f t="shared" si="16"/>
        <v>130</v>
      </c>
      <c r="L106" s="113">
        <f t="shared" si="17"/>
        <v>195</v>
      </c>
      <c r="M106" s="110">
        <v>120</v>
      </c>
      <c r="N106" s="112">
        <f t="shared" si="18"/>
        <v>180</v>
      </c>
      <c r="O106" s="61">
        <f>187.94</f>
        <v>187.94</v>
      </c>
      <c r="P106" s="21">
        <f t="shared" si="19"/>
        <v>33829.199999999997</v>
      </c>
      <c r="Q106" s="128">
        <f t="shared" si="20"/>
        <v>10</v>
      </c>
      <c r="R106" s="128">
        <f t="shared" si="21"/>
        <v>15</v>
      </c>
    </row>
    <row r="107" spans="1:18" ht="15" customHeight="1" x14ac:dyDescent="0.3">
      <c r="A107" s="62">
        <v>96</v>
      </c>
      <c r="B107" s="63" t="s">
        <v>409</v>
      </c>
      <c r="C107" s="64" t="s">
        <v>170</v>
      </c>
      <c r="D107" s="64" t="s">
        <v>171</v>
      </c>
      <c r="E107" s="65" t="s">
        <v>6</v>
      </c>
      <c r="F107" s="65">
        <v>2</v>
      </c>
      <c r="G107" s="110">
        <v>37</v>
      </c>
      <c r="H107" s="111">
        <v>59</v>
      </c>
      <c r="I107" s="110">
        <v>37</v>
      </c>
      <c r="J107" s="112">
        <f t="shared" si="15"/>
        <v>59</v>
      </c>
      <c r="K107" s="113">
        <f t="shared" si="16"/>
        <v>481</v>
      </c>
      <c r="L107" s="113">
        <f t="shared" si="17"/>
        <v>767</v>
      </c>
      <c r="M107" s="110">
        <v>444</v>
      </c>
      <c r="N107" s="112">
        <f t="shared" si="18"/>
        <v>708</v>
      </c>
      <c r="O107" s="61">
        <f>207.72</f>
        <v>207.72</v>
      </c>
      <c r="P107" s="21">
        <f t="shared" si="19"/>
        <v>147065.76</v>
      </c>
      <c r="Q107" s="128">
        <f t="shared" si="20"/>
        <v>37</v>
      </c>
      <c r="R107" s="128">
        <f t="shared" si="21"/>
        <v>59</v>
      </c>
    </row>
    <row r="108" spans="1:18" ht="15" customHeight="1" x14ac:dyDescent="0.3">
      <c r="A108" s="62">
        <v>97</v>
      </c>
      <c r="B108" s="63" t="s">
        <v>409</v>
      </c>
      <c r="C108" s="64">
        <v>97</v>
      </c>
      <c r="D108" s="64" t="s">
        <v>172</v>
      </c>
      <c r="E108" s="65" t="s">
        <v>6</v>
      </c>
      <c r="F108" s="65">
        <v>2</v>
      </c>
      <c r="G108" s="110">
        <v>0</v>
      </c>
      <c r="H108" s="111">
        <v>0</v>
      </c>
      <c r="I108" s="110">
        <v>0.5</v>
      </c>
      <c r="J108" s="112">
        <f t="shared" si="15"/>
        <v>0.5</v>
      </c>
      <c r="K108" s="113">
        <f t="shared" si="16"/>
        <v>6</v>
      </c>
      <c r="L108" s="113">
        <f t="shared" si="17"/>
        <v>6</v>
      </c>
      <c r="M108" s="110">
        <v>6</v>
      </c>
      <c r="N108" s="112">
        <f t="shared" si="18"/>
        <v>6</v>
      </c>
      <c r="O108" s="61">
        <v>455</v>
      </c>
      <c r="P108" s="21">
        <f t="shared" si="19"/>
        <v>2730</v>
      </c>
      <c r="Q108" s="128">
        <f t="shared" si="20"/>
        <v>0</v>
      </c>
      <c r="R108" s="128">
        <f t="shared" si="21"/>
        <v>0</v>
      </c>
    </row>
    <row r="109" spans="1:18" ht="15" customHeight="1" x14ac:dyDescent="0.3">
      <c r="A109" s="16">
        <v>98</v>
      </c>
      <c r="B109" s="17" t="s">
        <v>409</v>
      </c>
      <c r="C109" s="18">
        <v>98</v>
      </c>
      <c r="D109" s="19" t="s">
        <v>173</v>
      </c>
      <c r="E109" s="20" t="s">
        <v>6</v>
      </c>
      <c r="F109" s="20">
        <v>2</v>
      </c>
      <c r="G109" s="110">
        <v>0</v>
      </c>
      <c r="H109" s="111">
        <v>0</v>
      </c>
      <c r="I109" s="110">
        <v>0.5</v>
      </c>
      <c r="J109" s="112">
        <f t="shared" si="15"/>
        <v>0.5</v>
      </c>
      <c r="K109" s="113">
        <f t="shared" si="16"/>
        <v>6</v>
      </c>
      <c r="L109" s="113">
        <f t="shared" si="17"/>
        <v>6</v>
      </c>
      <c r="M109" s="110">
        <v>6</v>
      </c>
      <c r="N109" s="112">
        <f t="shared" si="18"/>
        <v>6</v>
      </c>
      <c r="O109" s="61">
        <v>810</v>
      </c>
      <c r="P109" s="21">
        <f t="shared" si="19"/>
        <v>4860</v>
      </c>
      <c r="Q109" s="128">
        <f t="shared" si="20"/>
        <v>0</v>
      </c>
      <c r="R109" s="128">
        <f t="shared" si="21"/>
        <v>0</v>
      </c>
    </row>
    <row r="110" spans="1:18" ht="15" customHeight="1" x14ac:dyDescent="0.3">
      <c r="A110" s="16">
        <v>99</v>
      </c>
      <c r="B110" s="17" t="s">
        <v>409</v>
      </c>
      <c r="C110" s="18" t="s">
        <v>174</v>
      </c>
      <c r="D110" s="19" t="s">
        <v>175</v>
      </c>
      <c r="E110" s="20" t="s">
        <v>6</v>
      </c>
      <c r="F110" s="20">
        <v>2</v>
      </c>
      <c r="G110" s="110">
        <v>1</v>
      </c>
      <c r="H110" s="111">
        <v>1</v>
      </c>
      <c r="I110" s="108">
        <v>0.25</v>
      </c>
      <c r="J110" s="109">
        <f t="shared" si="15"/>
        <v>0.25</v>
      </c>
      <c r="K110" s="113">
        <f t="shared" si="16"/>
        <v>4</v>
      </c>
      <c r="L110" s="113">
        <f t="shared" si="17"/>
        <v>4</v>
      </c>
      <c r="M110" s="110">
        <v>2</v>
      </c>
      <c r="N110" s="112">
        <f t="shared" si="18"/>
        <v>2</v>
      </c>
      <c r="O110" s="61">
        <f>252.24</f>
        <v>252.24</v>
      </c>
      <c r="P110" s="21">
        <f t="shared" si="19"/>
        <v>504.48</v>
      </c>
      <c r="Q110" s="128">
        <f t="shared" si="20"/>
        <v>2</v>
      </c>
      <c r="R110" s="128">
        <f t="shared" si="21"/>
        <v>2</v>
      </c>
    </row>
    <row r="111" spans="1:18" ht="15" customHeight="1" x14ac:dyDescent="0.3">
      <c r="A111" s="62">
        <v>100</v>
      </c>
      <c r="B111" s="63" t="s">
        <v>409</v>
      </c>
      <c r="C111" s="64" t="s">
        <v>176</v>
      </c>
      <c r="D111" s="64" t="s">
        <v>177</v>
      </c>
      <c r="E111" s="65" t="s">
        <v>6</v>
      </c>
      <c r="F111" s="65">
        <v>2</v>
      </c>
      <c r="G111" s="110">
        <v>1</v>
      </c>
      <c r="H111" s="111">
        <v>1</v>
      </c>
      <c r="I111" s="108">
        <v>0.25</v>
      </c>
      <c r="J111" s="109">
        <f t="shared" si="15"/>
        <v>0.25</v>
      </c>
      <c r="K111" s="113">
        <f t="shared" si="16"/>
        <v>4</v>
      </c>
      <c r="L111" s="113">
        <f t="shared" si="17"/>
        <v>4</v>
      </c>
      <c r="M111" s="110">
        <v>1</v>
      </c>
      <c r="N111" s="112">
        <f t="shared" si="18"/>
        <v>1</v>
      </c>
      <c r="O111" s="61">
        <f>133.52</f>
        <v>133.52000000000001</v>
      </c>
      <c r="P111" s="21">
        <f t="shared" si="19"/>
        <v>133.52000000000001</v>
      </c>
      <c r="Q111" s="128">
        <f t="shared" si="20"/>
        <v>3</v>
      </c>
      <c r="R111" s="128">
        <f t="shared" si="21"/>
        <v>3</v>
      </c>
    </row>
    <row r="112" spans="1:18" ht="15" customHeight="1" x14ac:dyDescent="0.3">
      <c r="A112" s="62">
        <v>101</v>
      </c>
      <c r="B112" s="63" t="s">
        <v>409</v>
      </c>
      <c r="C112" s="64" t="s">
        <v>178</v>
      </c>
      <c r="D112" s="64" t="s">
        <v>179</v>
      </c>
      <c r="E112" s="65" t="s">
        <v>6</v>
      </c>
      <c r="F112" s="65">
        <v>2</v>
      </c>
      <c r="G112" s="110">
        <v>1</v>
      </c>
      <c r="H112" s="111">
        <v>2</v>
      </c>
      <c r="I112" s="110">
        <v>1</v>
      </c>
      <c r="J112" s="112">
        <f t="shared" si="15"/>
        <v>2</v>
      </c>
      <c r="K112" s="113">
        <f t="shared" si="16"/>
        <v>13</v>
      </c>
      <c r="L112" s="113">
        <f t="shared" si="17"/>
        <v>26</v>
      </c>
      <c r="M112" s="110">
        <v>12</v>
      </c>
      <c r="N112" s="112">
        <f t="shared" si="18"/>
        <v>24</v>
      </c>
      <c r="O112" s="61">
        <f>281.92</f>
        <v>281.92</v>
      </c>
      <c r="P112" s="21">
        <f t="shared" si="19"/>
        <v>6766.08</v>
      </c>
      <c r="Q112" s="128">
        <f t="shared" si="20"/>
        <v>1</v>
      </c>
      <c r="R112" s="128">
        <f t="shared" si="21"/>
        <v>2</v>
      </c>
    </row>
    <row r="113" spans="1:18" ht="15" customHeight="1" x14ac:dyDescent="0.3">
      <c r="A113" s="16">
        <v>102</v>
      </c>
      <c r="B113" s="16" t="s">
        <v>409</v>
      </c>
      <c r="C113" s="23" t="s">
        <v>180</v>
      </c>
      <c r="D113" s="26" t="s">
        <v>181</v>
      </c>
      <c r="E113" s="27" t="s">
        <v>6</v>
      </c>
      <c r="F113" s="27">
        <v>2</v>
      </c>
      <c r="G113" s="110">
        <v>1</v>
      </c>
      <c r="H113" s="111">
        <v>2</v>
      </c>
      <c r="I113" s="110">
        <v>1</v>
      </c>
      <c r="J113" s="112">
        <f t="shared" si="15"/>
        <v>2</v>
      </c>
      <c r="K113" s="113">
        <f t="shared" si="16"/>
        <v>13</v>
      </c>
      <c r="L113" s="113">
        <f t="shared" si="17"/>
        <v>26</v>
      </c>
      <c r="M113" s="110">
        <v>12</v>
      </c>
      <c r="N113" s="112">
        <f t="shared" si="18"/>
        <v>24</v>
      </c>
      <c r="O113" s="61">
        <f>156.26</f>
        <v>156.26</v>
      </c>
      <c r="P113" s="21">
        <f t="shared" si="19"/>
        <v>3750.24</v>
      </c>
      <c r="Q113" s="128">
        <f t="shared" si="20"/>
        <v>1</v>
      </c>
      <c r="R113" s="128">
        <f t="shared" si="21"/>
        <v>2</v>
      </c>
    </row>
    <row r="114" spans="1:18" s="15" customFormat="1" ht="15" customHeight="1" x14ac:dyDescent="0.3">
      <c r="A114" s="257" t="s">
        <v>405</v>
      </c>
      <c r="B114" s="257"/>
      <c r="C114" s="257"/>
      <c r="D114" s="257"/>
      <c r="E114" s="257"/>
      <c r="F114" s="257"/>
      <c r="G114" s="126">
        <f>SUM(G115:G131)</f>
        <v>0</v>
      </c>
      <c r="H114" s="126">
        <f t="shared" ref="H114:R114" si="24">SUM(H115:H131)</f>
        <v>0</v>
      </c>
      <c r="I114" s="126">
        <f t="shared" si="24"/>
        <v>32.25</v>
      </c>
      <c r="J114" s="126">
        <f t="shared" si="24"/>
        <v>32.25</v>
      </c>
      <c r="K114" s="126">
        <f t="shared" si="24"/>
        <v>387</v>
      </c>
      <c r="L114" s="126">
        <f t="shared" si="24"/>
        <v>387</v>
      </c>
      <c r="M114" s="126">
        <f t="shared" si="24"/>
        <v>363</v>
      </c>
      <c r="N114" s="126">
        <f t="shared" ref="N114" si="25">SUM(N115:N131)</f>
        <v>363</v>
      </c>
      <c r="O114" s="71" t="s">
        <v>426</v>
      </c>
      <c r="P114" s="25">
        <f t="shared" si="24"/>
        <v>57671.939999999995</v>
      </c>
      <c r="Q114" s="126">
        <f>SUM(Q115:Q131)</f>
        <v>24</v>
      </c>
      <c r="R114" s="126">
        <f t="shared" si="24"/>
        <v>24</v>
      </c>
    </row>
    <row r="115" spans="1:18" ht="15" customHeight="1" x14ac:dyDescent="0.3">
      <c r="A115" s="28">
        <v>103</v>
      </c>
      <c r="B115" s="28" t="s">
        <v>410</v>
      </c>
      <c r="C115" s="23">
        <v>103</v>
      </c>
      <c r="D115" s="26" t="s">
        <v>182</v>
      </c>
      <c r="E115" s="27" t="s">
        <v>6</v>
      </c>
      <c r="F115" s="27">
        <v>0.5</v>
      </c>
      <c r="G115" s="110">
        <v>0</v>
      </c>
      <c r="H115" s="111">
        <v>0</v>
      </c>
      <c r="I115" s="110">
        <v>0.75</v>
      </c>
      <c r="J115" s="112">
        <f t="shared" si="15"/>
        <v>0.75</v>
      </c>
      <c r="K115" s="113">
        <f t="shared" si="16"/>
        <v>9</v>
      </c>
      <c r="L115" s="113">
        <f t="shared" si="17"/>
        <v>9</v>
      </c>
      <c r="M115" s="110">
        <v>9</v>
      </c>
      <c r="N115" s="112">
        <f t="shared" si="18"/>
        <v>9</v>
      </c>
      <c r="O115" s="61">
        <v>132.06</v>
      </c>
      <c r="P115" s="21">
        <f t="shared" si="19"/>
        <v>1188.54</v>
      </c>
      <c r="Q115" s="128">
        <f t="shared" si="20"/>
        <v>0</v>
      </c>
      <c r="R115" s="128">
        <f t="shared" si="21"/>
        <v>0</v>
      </c>
    </row>
    <row r="116" spans="1:18" ht="29.4" customHeight="1" x14ac:dyDescent="0.3">
      <c r="A116" s="28">
        <v>104</v>
      </c>
      <c r="B116" s="28" t="s">
        <v>410</v>
      </c>
      <c r="C116" s="23">
        <v>104</v>
      </c>
      <c r="D116" s="26" t="s">
        <v>183</v>
      </c>
      <c r="E116" s="27" t="s">
        <v>6</v>
      </c>
      <c r="F116" s="27">
        <v>0.5</v>
      </c>
      <c r="G116" s="110">
        <v>0</v>
      </c>
      <c r="H116" s="111">
        <v>0</v>
      </c>
      <c r="I116" s="110">
        <v>0.75</v>
      </c>
      <c r="J116" s="112">
        <f t="shared" si="15"/>
        <v>0.75</v>
      </c>
      <c r="K116" s="113">
        <f t="shared" si="16"/>
        <v>9</v>
      </c>
      <c r="L116" s="113">
        <f t="shared" si="17"/>
        <v>9</v>
      </c>
      <c r="M116" s="110">
        <v>9</v>
      </c>
      <c r="N116" s="112">
        <f t="shared" si="18"/>
        <v>9</v>
      </c>
      <c r="O116" s="61">
        <v>163.66999999999999</v>
      </c>
      <c r="P116" s="21">
        <f t="shared" si="19"/>
        <v>1473.03</v>
      </c>
      <c r="Q116" s="128">
        <f t="shared" si="20"/>
        <v>0</v>
      </c>
      <c r="R116" s="128">
        <f t="shared" si="21"/>
        <v>0</v>
      </c>
    </row>
    <row r="117" spans="1:18" ht="29.4" customHeight="1" x14ac:dyDescent="0.3">
      <c r="A117" s="28">
        <v>105</v>
      </c>
      <c r="B117" s="28" t="s">
        <v>410</v>
      </c>
      <c r="C117" s="23">
        <v>105</v>
      </c>
      <c r="D117" s="26" t="s">
        <v>184</v>
      </c>
      <c r="E117" s="27" t="s">
        <v>6</v>
      </c>
      <c r="F117" s="27">
        <v>0.5</v>
      </c>
      <c r="G117" s="110">
        <v>0</v>
      </c>
      <c r="H117" s="111">
        <v>0</v>
      </c>
      <c r="I117" s="110">
        <v>0.75</v>
      </c>
      <c r="J117" s="112">
        <f t="shared" si="15"/>
        <v>0.75</v>
      </c>
      <c r="K117" s="113">
        <f t="shared" si="16"/>
        <v>9</v>
      </c>
      <c r="L117" s="113">
        <f t="shared" si="17"/>
        <v>9</v>
      </c>
      <c r="M117" s="110">
        <v>9</v>
      </c>
      <c r="N117" s="112">
        <f t="shared" si="18"/>
        <v>9</v>
      </c>
      <c r="O117" s="61">
        <v>196.4</v>
      </c>
      <c r="P117" s="21">
        <f t="shared" si="19"/>
        <v>1767.6000000000001</v>
      </c>
      <c r="Q117" s="128">
        <f t="shared" si="20"/>
        <v>0</v>
      </c>
      <c r="R117" s="128">
        <f t="shared" si="21"/>
        <v>0</v>
      </c>
    </row>
    <row r="118" spans="1:18" ht="15" customHeight="1" x14ac:dyDescent="0.3">
      <c r="A118" s="28">
        <v>106</v>
      </c>
      <c r="B118" s="28" t="s">
        <v>410</v>
      </c>
      <c r="C118" s="23">
        <v>106</v>
      </c>
      <c r="D118" s="26" t="s">
        <v>185</v>
      </c>
      <c r="E118" s="27" t="s">
        <v>6</v>
      </c>
      <c r="F118" s="27">
        <v>0.5</v>
      </c>
      <c r="G118" s="110">
        <v>0</v>
      </c>
      <c r="H118" s="111">
        <v>0</v>
      </c>
      <c r="I118" s="110">
        <v>2.5</v>
      </c>
      <c r="J118" s="112">
        <f t="shared" si="15"/>
        <v>2.5</v>
      </c>
      <c r="K118" s="113">
        <f t="shared" si="16"/>
        <v>30</v>
      </c>
      <c r="L118" s="113">
        <f t="shared" si="17"/>
        <v>30</v>
      </c>
      <c r="M118" s="110">
        <v>27</v>
      </c>
      <c r="N118" s="112">
        <f t="shared" si="18"/>
        <v>27</v>
      </c>
      <c r="O118" s="61">
        <v>98.2</v>
      </c>
      <c r="P118" s="21">
        <f t="shared" si="19"/>
        <v>2651.4</v>
      </c>
      <c r="Q118" s="128">
        <f t="shared" si="20"/>
        <v>3</v>
      </c>
      <c r="R118" s="128">
        <f t="shared" si="21"/>
        <v>3</v>
      </c>
    </row>
    <row r="119" spans="1:18" ht="15" customHeight="1" x14ac:dyDescent="0.3">
      <c r="A119" s="28">
        <v>107</v>
      </c>
      <c r="B119" s="28" t="s">
        <v>410</v>
      </c>
      <c r="C119" s="23">
        <v>107</v>
      </c>
      <c r="D119" s="26" t="s">
        <v>186</v>
      </c>
      <c r="E119" s="27" t="s">
        <v>6</v>
      </c>
      <c r="F119" s="27">
        <v>0.5</v>
      </c>
      <c r="G119" s="110">
        <v>0</v>
      </c>
      <c r="H119" s="111">
        <v>0</v>
      </c>
      <c r="I119" s="110">
        <v>2.5</v>
      </c>
      <c r="J119" s="112">
        <f t="shared" si="15"/>
        <v>2.5</v>
      </c>
      <c r="K119" s="113">
        <f t="shared" si="16"/>
        <v>30</v>
      </c>
      <c r="L119" s="113">
        <f t="shared" si="17"/>
        <v>30</v>
      </c>
      <c r="M119" s="110">
        <v>27</v>
      </c>
      <c r="N119" s="112">
        <f t="shared" si="18"/>
        <v>27</v>
      </c>
      <c r="O119" s="61">
        <v>98.2</v>
      </c>
      <c r="P119" s="21">
        <f t="shared" si="19"/>
        <v>2651.4</v>
      </c>
      <c r="Q119" s="128">
        <f t="shared" si="20"/>
        <v>3</v>
      </c>
      <c r="R119" s="128">
        <f t="shared" si="21"/>
        <v>3</v>
      </c>
    </row>
    <row r="120" spans="1:18" ht="15" customHeight="1" x14ac:dyDescent="0.3">
      <c r="A120" s="28">
        <v>108</v>
      </c>
      <c r="B120" s="28" t="s">
        <v>410</v>
      </c>
      <c r="C120" s="23">
        <v>108</v>
      </c>
      <c r="D120" s="26" t="s">
        <v>187</v>
      </c>
      <c r="E120" s="27" t="s">
        <v>6</v>
      </c>
      <c r="F120" s="27">
        <v>0.5</v>
      </c>
      <c r="G120" s="110">
        <v>0</v>
      </c>
      <c r="H120" s="111">
        <v>0</v>
      </c>
      <c r="I120" s="110">
        <v>16.75</v>
      </c>
      <c r="J120" s="112">
        <f t="shared" si="15"/>
        <v>16.75</v>
      </c>
      <c r="K120" s="113">
        <f t="shared" si="16"/>
        <v>201</v>
      </c>
      <c r="L120" s="113">
        <f t="shared" si="17"/>
        <v>201</v>
      </c>
      <c r="M120" s="110">
        <v>183</v>
      </c>
      <c r="N120" s="112">
        <f t="shared" si="18"/>
        <v>183</v>
      </c>
      <c r="O120" s="61">
        <v>180.04</v>
      </c>
      <c r="P120" s="21">
        <f t="shared" si="19"/>
        <v>32947.32</v>
      </c>
      <c r="Q120" s="128">
        <f t="shared" si="20"/>
        <v>18</v>
      </c>
      <c r="R120" s="128">
        <f t="shared" si="21"/>
        <v>18</v>
      </c>
    </row>
    <row r="121" spans="1:18" ht="30" customHeight="1" x14ac:dyDescent="0.3">
      <c r="A121" s="28">
        <v>109</v>
      </c>
      <c r="B121" s="28" t="s">
        <v>410</v>
      </c>
      <c r="C121" s="23">
        <v>109</v>
      </c>
      <c r="D121" s="26" t="s">
        <v>188</v>
      </c>
      <c r="E121" s="27" t="s">
        <v>6</v>
      </c>
      <c r="F121" s="27">
        <v>0.5</v>
      </c>
      <c r="G121" s="110">
        <v>0</v>
      </c>
      <c r="H121" s="111">
        <v>0</v>
      </c>
      <c r="I121" s="110">
        <v>0.75</v>
      </c>
      <c r="J121" s="112">
        <f t="shared" si="15"/>
        <v>0.75</v>
      </c>
      <c r="K121" s="113">
        <f t="shared" si="16"/>
        <v>9</v>
      </c>
      <c r="L121" s="113">
        <f t="shared" si="17"/>
        <v>9</v>
      </c>
      <c r="M121" s="110">
        <v>9</v>
      </c>
      <c r="N121" s="112">
        <f t="shared" si="18"/>
        <v>9</v>
      </c>
      <c r="O121" s="61">
        <v>130.94</v>
      </c>
      <c r="P121" s="21">
        <f t="shared" si="19"/>
        <v>1178.46</v>
      </c>
      <c r="Q121" s="128">
        <f t="shared" si="20"/>
        <v>0</v>
      </c>
      <c r="R121" s="128">
        <f t="shared" si="21"/>
        <v>0</v>
      </c>
    </row>
    <row r="122" spans="1:18" ht="30" customHeight="1" x14ac:dyDescent="0.3">
      <c r="A122" s="28">
        <v>110</v>
      </c>
      <c r="B122" s="28" t="s">
        <v>410</v>
      </c>
      <c r="C122" s="23">
        <v>110</v>
      </c>
      <c r="D122" s="26" t="s">
        <v>189</v>
      </c>
      <c r="E122" s="27" t="s">
        <v>6</v>
      </c>
      <c r="F122" s="27">
        <v>0.5</v>
      </c>
      <c r="G122" s="110">
        <v>0</v>
      </c>
      <c r="H122" s="111">
        <v>0</v>
      </c>
      <c r="I122" s="110">
        <v>0.75</v>
      </c>
      <c r="J122" s="112">
        <f t="shared" si="15"/>
        <v>0.75</v>
      </c>
      <c r="K122" s="113">
        <f t="shared" si="16"/>
        <v>9</v>
      </c>
      <c r="L122" s="113">
        <f t="shared" si="17"/>
        <v>9</v>
      </c>
      <c r="M122" s="110">
        <v>9</v>
      </c>
      <c r="N122" s="112">
        <f t="shared" si="18"/>
        <v>9</v>
      </c>
      <c r="O122" s="61">
        <v>163.66999999999999</v>
      </c>
      <c r="P122" s="21">
        <f t="shared" si="19"/>
        <v>1473.03</v>
      </c>
      <c r="Q122" s="128">
        <f t="shared" si="20"/>
        <v>0</v>
      </c>
      <c r="R122" s="128">
        <f t="shared" si="21"/>
        <v>0</v>
      </c>
    </row>
    <row r="123" spans="1:18" ht="15" customHeight="1" x14ac:dyDescent="0.3">
      <c r="A123" s="28">
        <v>111</v>
      </c>
      <c r="B123" s="28" t="s">
        <v>410</v>
      </c>
      <c r="C123" s="23">
        <v>111</v>
      </c>
      <c r="D123" s="26" t="s">
        <v>190</v>
      </c>
      <c r="E123" s="27" t="s">
        <v>6</v>
      </c>
      <c r="F123" s="27">
        <v>0.5</v>
      </c>
      <c r="G123" s="110">
        <v>0</v>
      </c>
      <c r="H123" s="111">
        <v>0</v>
      </c>
      <c r="I123" s="110">
        <v>0.75</v>
      </c>
      <c r="J123" s="112">
        <f t="shared" si="15"/>
        <v>0.75</v>
      </c>
      <c r="K123" s="113">
        <f t="shared" si="16"/>
        <v>9</v>
      </c>
      <c r="L123" s="113">
        <f t="shared" si="17"/>
        <v>9</v>
      </c>
      <c r="M123" s="110">
        <v>9</v>
      </c>
      <c r="N123" s="112">
        <f t="shared" si="18"/>
        <v>9</v>
      </c>
      <c r="O123" s="61">
        <v>163.66999999999999</v>
      </c>
      <c r="P123" s="21">
        <f t="shared" si="19"/>
        <v>1473.03</v>
      </c>
      <c r="Q123" s="128">
        <f t="shared" si="20"/>
        <v>0</v>
      </c>
      <c r="R123" s="128">
        <f t="shared" si="21"/>
        <v>0</v>
      </c>
    </row>
    <row r="124" spans="1:18" ht="15" customHeight="1" x14ac:dyDescent="0.3">
      <c r="A124" s="28">
        <v>112</v>
      </c>
      <c r="B124" s="28" t="s">
        <v>410</v>
      </c>
      <c r="C124" s="23">
        <v>112</v>
      </c>
      <c r="D124" s="26" t="s">
        <v>191</v>
      </c>
      <c r="E124" s="27" t="s">
        <v>6</v>
      </c>
      <c r="F124" s="27">
        <v>0.5</v>
      </c>
      <c r="G124" s="110">
        <v>0</v>
      </c>
      <c r="H124" s="111">
        <v>0</v>
      </c>
      <c r="I124" s="110">
        <v>0.75</v>
      </c>
      <c r="J124" s="112">
        <f t="shared" si="15"/>
        <v>0.75</v>
      </c>
      <c r="K124" s="113">
        <f t="shared" si="16"/>
        <v>9</v>
      </c>
      <c r="L124" s="113">
        <f t="shared" si="17"/>
        <v>9</v>
      </c>
      <c r="M124" s="110">
        <v>9</v>
      </c>
      <c r="N124" s="112">
        <f t="shared" si="18"/>
        <v>9</v>
      </c>
      <c r="O124" s="61">
        <v>196.4</v>
      </c>
      <c r="P124" s="21">
        <f t="shared" si="19"/>
        <v>1767.6000000000001</v>
      </c>
      <c r="Q124" s="128">
        <f t="shared" si="20"/>
        <v>0</v>
      </c>
      <c r="R124" s="128">
        <f t="shared" si="21"/>
        <v>0</v>
      </c>
    </row>
    <row r="125" spans="1:18" ht="28.25" customHeight="1" x14ac:dyDescent="0.3">
      <c r="A125" s="28">
        <v>113</v>
      </c>
      <c r="B125" s="28" t="s">
        <v>410</v>
      </c>
      <c r="C125" s="23">
        <v>113</v>
      </c>
      <c r="D125" s="26" t="s">
        <v>192</v>
      </c>
      <c r="E125" s="27" t="s">
        <v>6</v>
      </c>
      <c r="F125" s="27">
        <v>0.5</v>
      </c>
      <c r="G125" s="110">
        <v>0</v>
      </c>
      <c r="H125" s="111">
        <v>0</v>
      </c>
      <c r="I125" s="110">
        <v>0.75</v>
      </c>
      <c r="J125" s="112">
        <f t="shared" si="15"/>
        <v>0.75</v>
      </c>
      <c r="K125" s="113">
        <f t="shared" si="16"/>
        <v>9</v>
      </c>
      <c r="L125" s="113">
        <f t="shared" si="17"/>
        <v>9</v>
      </c>
      <c r="M125" s="110">
        <v>9</v>
      </c>
      <c r="N125" s="112">
        <f t="shared" si="18"/>
        <v>9</v>
      </c>
      <c r="O125" s="61">
        <v>204</v>
      </c>
      <c r="P125" s="21">
        <f t="shared" si="19"/>
        <v>1836</v>
      </c>
      <c r="Q125" s="128">
        <f t="shared" si="20"/>
        <v>0</v>
      </c>
      <c r="R125" s="128">
        <f t="shared" si="21"/>
        <v>0</v>
      </c>
    </row>
    <row r="126" spans="1:18" ht="15" customHeight="1" x14ac:dyDescent="0.3">
      <c r="A126" s="28">
        <v>114</v>
      </c>
      <c r="B126" s="28" t="s">
        <v>410</v>
      </c>
      <c r="C126" s="23">
        <v>114</v>
      </c>
      <c r="D126" s="26" t="s">
        <v>193</v>
      </c>
      <c r="E126" s="27" t="s">
        <v>6</v>
      </c>
      <c r="F126" s="27">
        <v>0.5</v>
      </c>
      <c r="G126" s="110">
        <v>0</v>
      </c>
      <c r="H126" s="111">
        <v>0</v>
      </c>
      <c r="I126" s="110">
        <v>0.75</v>
      </c>
      <c r="J126" s="112">
        <f t="shared" si="15"/>
        <v>0.75</v>
      </c>
      <c r="K126" s="113">
        <f t="shared" si="16"/>
        <v>9</v>
      </c>
      <c r="L126" s="113">
        <f t="shared" si="17"/>
        <v>9</v>
      </c>
      <c r="M126" s="110">
        <v>9</v>
      </c>
      <c r="N126" s="112">
        <f t="shared" si="18"/>
        <v>9</v>
      </c>
      <c r="O126" s="61">
        <v>163.66999999999999</v>
      </c>
      <c r="P126" s="21">
        <f t="shared" si="19"/>
        <v>1473.03</v>
      </c>
      <c r="Q126" s="128">
        <f t="shared" si="20"/>
        <v>0</v>
      </c>
      <c r="R126" s="128">
        <f t="shared" si="21"/>
        <v>0</v>
      </c>
    </row>
    <row r="127" spans="1:18" ht="15" customHeight="1" x14ac:dyDescent="0.3">
      <c r="A127" s="28">
        <v>115</v>
      </c>
      <c r="B127" s="28" t="s">
        <v>410</v>
      </c>
      <c r="C127" s="23">
        <v>115</v>
      </c>
      <c r="D127" s="26" t="s">
        <v>194</v>
      </c>
      <c r="E127" s="27" t="s">
        <v>6</v>
      </c>
      <c r="F127" s="27">
        <v>0.5</v>
      </c>
      <c r="G127" s="110">
        <v>0</v>
      </c>
      <c r="H127" s="111">
        <v>0</v>
      </c>
      <c r="I127" s="110">
        <v>0.75</v>
      </c>
      <c r="J127" s="112">
        <f t="shared" si="15"/>
        <v>0.75</v>
      </c>
      <c r="K127" s="113">
        <f t="shared" si="16"/>
        <v>9</v>
      </c>
      <c r="L127" s="113">
        <f t="shared" si="17"/>
        <v>9</v>
      </c>
      <c r="M127" s="110">
        <v>9</v>
      </c>
      <c r="N127" s="112">
        <f t="shared" si="18"/>
        <v>9</v>
      </c>
      <c r="O127" s="61">
        <v>126.12</v>
      </c>
      <c r="P127" s="21">
        <f t="shared" si="19"/>
        <v>1135.08</v>
      </c>
      <c r="Q127" s="128">
        <f t="shared" si="20"/>
        <v>0</v>
      </c>
      <c r="R127" s="128">
        <f t="shared" si="21"/>
        <v>0</v>
      </c>
    </row>
    <row r="128" spans="1:18" ht="15" customHeight="1" x14ac:dyDescent="0.3">
      <c r="A128" s="28">
        <v>116</v>
      </c>
      <c r="B128" s="28" t="s">
        <v>410</v>
      </c>
      <c r="C128" s="23">
        <v>116</v>
      </c>
      <c r="D128" s="26" t="s">
        <v>195</v>
      </c>
      <c r="E128" s="27" t="s">
        <v>6</v>
      </c>
      <c r="F128" s="27">
        <v>0.5</v>
      </c>
      <c r="G128" s="110">
        <v>0</v>
      </c>
      <c r="H128" s="111">
        <v>0</v>
      </c>
      <c r="I128" s="110">
        <v>0.75</v>
      </c>
      <c r="J128" s="112">
        <f t="shared" si="15"/>
        <v>0.75</v>
      </c>
      <c r="K128" s="113">
        <f t="shared" si="16"/>
        <v>9</v>
      </c>
      <c r="L128" s="113">
        <f t="shared" si="17"/>
        <v>9</v>
      </c>
      <c r="M128" s="110">
        <v>9</v>
      </c>
      <c r="N128" s="112">
        <f t="shared" si="18"/>
        <v>9</v>
      </c>
      <c r="O128" s="61">
        <v>73.650000000000006</v>
      </c>
      <c r="P128" s="21">
        <f t="shared" si="19"/>
        <v>662.85</v>
      </c>
      <c r="Q128" s="128">
        <f t="shared" si="20"/>
        <v>0</v>
      </c>
      <c r="R128" s="128">
        <f t="shared" si="21"/>
        <v>0</v>
      </c>
    </row>
    <row r="129" spans="1:18" ht="25.75" customHeight="1" x14ac:dyDescent="0.3">
      <c r="A129" s="28">
        <v>117</v>
      </c>
      <c r="B129" s="28" t="s">
        <v>410</v>
      </c>
      <c r="C129" s="23">
        <v>117</v>
      </c>
      <c r="D129" s="26" t="s">
        <v>196</v>
      </c>
      <c r="E129" s="27" t="s">
        <v>6</v>
      </c>
      <c r="F129" s="27">
        <v>0.5</v>
      </c>
      <c r="G129" s="110">
        <v>0</v>
      </c>
      <c r="H129" s="111">
        <v>0</v>
      </c>
      <c r="I129" s="110">
        <v>0.75</v>
      </c>
      <c r="J129" s="112">
        <f t="shared" si="15"/>
        <v>0.75</v>
      </c>
      <c r="K129" s="113">
        <f t="shared" si="16"/>
        <v>9</v>
      </c>
      <c r="L129" s="113">
        <f t="shared" si="17"/>
        <v>9</v>
      </c>
      <c r="M129" s="110">
        <v>9</v>
      </c>
      <c r="N129" s="112">
        <f t="shared" si="18"/>
        <v>9</v>
      </c>
      <c r="O129" s="61">
        <v>173.67</v>
      </c>
      <c r="P129" s="21">
        <f t="shared" si="19"/>
        <v>1563.03</v>
      </c>
      <c r="Q129" s="128">
        <f t="shared" si="20"/>
        <v>0</v>
      </c>
      <c r="R129" s="128">
        <f t="shared" si="21"/>
        <v>0</v>
      </c>
    </row>
    <row r="130" spans="1:18" ht="15" customHeight="1" x14ac:dyDescent="0.3">
      <c r="A130" s="28">
        <v>118</v>
      </c>
      <c r="B130" s="28" t="s">
        <v>410</v>
      </c>
      <c r="C130" s="23">
        <v>118</v>
      </c>
      <c r="D130" s="26" t="s">
        <v>197</v>
      </c>
      <c r="E130" s="27" t="s">
        <v>6</v>
      </c>
      <c r="F130" s="27">
        <v>0.5</v>
      </c>
      <c r="G130" s="110">
        <v>0</v>
      </c>
      <c r="H130" s="111">
        <v>0</v>
      </c>
      <c r="I130" s="110">
        <v>0.75</v>
      </c>
      <c r="J130" s="112">
        <f t="shared" si="15"/>
        <v>0.75</v>
      </c>
      <c r="K130" s="113">
        <f t="shared" si="16"/>
        <v>9</v>
      </c>
      <c r="L130" s="113">
        <f t="shared" si="17"/>
        <v>9</v>
      </c>
      <c r="M130" s="110">
        <v>9</v>
      </c>
      <c r="N130" s="112">
        <f t="shared" si="18"/>
        <v>9</v>
      </c>
      <c r="O130" s="61">
        <v>81.84</v>
      </c>
      <c r="P130" s="21">
        <f t="shared" si="19"/>
        <v>736.56000000000006</v>
      </c>
      <c r="Q130" s="128">
        <f t="shared" si="20"/>
        <v>0</v>
      </c>
      <c r="R130" s="128">
        <f t="shared" si="21"/>
        <v>0</v>
      </c>
    </row>
    <row r="131" spans="1:18" ht="27.65" customHeight="1" x14ac:dyDescent="0.3">
      <c r="A131" s="28">
        <v>119</v>
      </c>
      <c r="B131" s="28" t="s">
        <v>410</v>
      </c>
      <c r="C131" s="23">
        <v>119</v>
      </c>
      <c r="D131" s="26" t="s">
        <v>198</v>
      </c>
      <c r="E131" s="27" t="s">
        <v>6</v>
      </c>
      <c r="F131" s="27">
        <v>0.5</v>
      </c>
      <c r="G131" s="110">
        <v>0</v>
      </c>
      <c r="H131" s="111">
        <v>0</v>
      </c>
      <c r="I131" s="110">
        <v>0.75</v>
      </c>
      <c r="J131" s="112">
        <f t="shared" si="15"/>
        <v>0.75</v>
      </c>
      <c r="K131" s="113">
        <f t="shared" si="16"/>
        <v>9</v>
      </c>
      <c r="L131" s="113">
        <f t="shared" si="17"/>
        <v>9</v>
      </c>
      <c r="M131" s="110">
        <v>9</v>
      </c>
      <c r="N131" s="112">
        <f t="shared" si="18"/>
        <v>9</v>
      </c>
      <c r="O131" s="61">
        <v>188.22</v>
      </c>
      <c r="P131" s="21">
        <f t="shared" si="19"/>
        <v>1693.98</v>
      </c>
      <c r="Q131" s="128">
        <f t="shared" si="20"/>
        <v>0</v>
      </c>
      <c r="R131" s="128">
        <f t="shared" si="21"/>
        <v>0</v>
      </c>
    </row>
    <row r="132" spans="1:18" s="15" customFormat="1" ht="15" customHeight="1" x14ac:dyDescent="0.3">
      <c r="A132" s="254" t="s">
        <v>199</v>
      </c>
      <c r="B132" s="254"/>
      <c r="C132" s="254"/>
      <c r="D132" s="254"/>
      <c r="E132" s="254"/>
      <c r="F132" s="254"/>
      <c r="G132" s="12">
        <f>SUM(G133:G157)</f>
        <v>70</v>
      </c>
      <c r="H132" s="12">
        <f t="shared" ref="H132:R132" si="26">SUM(H133:H157)</f>
        <v>74</v>
      </c>
      <c r="I132" s="12">
        <f t="shared" si="26"/>
        <v>69</v>
      </c>
      <c r="J132" s="12">
        <f t="shared" si="26"/>
        <v>73</v>
      </c>
      <c r="K132" s="12">
        <f t="shared" si="26"/>
        <v>898</v>
      </c>
      <c r="L132" s="12">
        <f t="shared" si="26"/>
        <v>949.99999999999989</v>
      </c>
      <c r="M132" s="12">
        <f t="shared" si="26"/>
        <v>817</v>
      </c>
      <c r="N132" s="12">
        <f t="shared" ref="N132" si="27">SUM(N133:N157)</f>
        <v>866</v>
      </c>
      <c r="O132" s="1" t="s">
        <v>426</v>
      </c>
      <c r="P132" s="14">
        <f t="shared" si="26"/>
        <v>1292978.27</v>
      </c>
      <c r="Q132" s="12">
        <f>SUM(Q133:Q157)</f>
        <v>81</v>
      </c>
      <c r="R132" s="12">
        <f t="shared" si="26"/>
        <v>83.999999999999943</v>
      </c>
    </row>
    <row r="133" spans="1:18" ht="14.5" x14ac:dyDescent="0.3">
      <c r="A133" s="16">
        <v>120</v>
      </c>
      <c r="B133" s="16">
        <v>4</v>
      </c>
      <c r="C133" s="22" t="s">
        <v>200</v>
      </c>
      <c r="D133" s="29" t="s">
        <v>201</v>
      </c>
      <c r="E133" s="24" t="s">
        <v>6</v>
      </c>
      <c r="F133" s="24">
        <v>3</v>
      </c>
      <c r="G133" s="110">
        <v>1</v>
      </c>
      <c r="H133" s="111">
        <v>1</v>
      </c>
      <c r="I133" s="110">
        <v>0.5</v>
      </c>
      <c r="J133" s="112">
        <f t="shared" si="15"/>
        <v>0.5</v>
      </c>
      <c r="K133" s="113">
        <f t="shared" si="16"/>
        <v>7</v>
      </c>
      <c r="L133" s="113">
        <f t="shared" si="17"/>
        <v>7</v>
      </c>
      <c r="M133" s="110">
        <v>6</v>
      </c>
      <c r="N133" s="112">
        <f t="shared" si="18"/>
        <v>6</v>
      </c>
      <c r="O133" s="61">
        <v>1385</v>
      </c>
      <c r="P133" s="21">
        <f t="shared" si="19"/>
        <v>8310</v>
      </c>
      <c r="Q133" s="128">
        <f t="shared" si="20"/>
        <v>1</v>
      </c>
      <c r="R133" s="128">
        <f t="shared" si="21"/>
        <v>1</v>
      </c>
    </row>
    <row r="134" spans="1:18" ht="14.5" x14ac:dyDescent="0.3">
      <c r="A134" s="16">
        <v>121</v>
      </c>
      <c r="B134" s="17">
        <v>4</v>
      </c>
      <c r="C134" s="18" t="s">
        <v>202</v>
      </c>
      <c r="D134" s="19" t="s">
        <v>203</v>
      </c>
      <c r="E134" s="20" t="s">
        <v>6</v>
      </c>
      <c r="F134" s="20">
        <v>3</v>
      </c>
      <c r="G134" s="110">
        <v>0</v>
      </c>
      <c r="H134" s="111">
        <v>0</v>
      </c>
      <c r="I134" s="108">
        <v>0.25</v>
      </c>
      <c r="J134" s="109">
        <f t="shared" si="15"/>
        <v>0.25</v>
      </c>
      <c r="K134" s="113">
        <f t="shared" si="16"/>
        <v>3</v>
      </c>
      <c r="L134" s="113">
        <f t="shared" si="17"/>
        <v>3</v>
      </c>
      <c r="M134" s="110">
        <v>2</v>
      </c>
      <c r="N134" s="112">
        <f t="shared" si="18"/>
        <v>2</v>
      </c>
      <c r="O134" s="61">
        <v>1322.97</v>
      </c>
      <c r="P134" s="21">
        <f t="shared" si="19"/>
        <v>2645.94</v>
      </c>
      <c r="Q134" s="128">
        <f t="shared" si="20"/>
        <v>1</v>
      </c>
      <c r="R134" s="128">
        <f t="shared" si="21"/>
        <v>1</v>
      </c>
    </row>
    <row r="135" spans="1:18" ht="14.5" x14ac:dyDescent="0.3">
      <c r="A135" s="16">
        <v>122</v>
      </c>
      <c r="B135" s="17">
        <v>4</v>
      </c>
      <c r="C135" s="18" t="s">
        <v>204</v>
      </c>
      <c r="D135" s="19" t="s">
        <v>205</v>
      </c>
      <c r="E135" s="20" t="s">
        <v>6</v>
      </c>
      <c r="F135" s="20">
        <v>3</v>
      </c>
      <c r="G135" s="110">
        <v>2</v>
      </c>
      <c r="H135" s="111">
        <v>2</v>
      </c>
      <c r="I135" s="110">
        <v>1.75</v>
      </c>
      <c r="J135" s="112">
        <f t="shared" si="15"/>
        <v>1.75</v>
      </c>
      <c r="K135" s="113">
        <f t="shared" si="16"/>
        <v>23</v>
      </c>
      <c r="L135" s="113">
        <f t="shared" si="17"/>
        <v>23</v>
      </c>
      <c r="M135" s="110">
        <v>20</v>
      </c>
      <c r="N135" s="112">
        <f t="shared" si="18"/>
        <v>20</v>
      </c>
      <c r="O135" s="61">
        <v>2394</v>
      </c>
      <c r="P135" s="21">
        <f t="shared" si="19"/>
        <v>47880</v>
      </c>
      <c r="Q135" s="128">
        <f t="shared" si="20"/>
        <v>3</v>
      </c>
      <c r="R135" s="128">
        <f t="shared" si="21"/>
        <v>3</v>
      </c>
    </row>
    <row r="136" spans="1:18" ht="14.5" x14ac:dyDescent="0.3">
      <c r="A136" s="62">
        <v>123</v>
      </c>
      <c r="B136" s="63">
        <v>4</v>
      </c>
      <c r="C136" s="64" t="s">
        <v>206</v>
      </c>
      <c r="D136" s="64" t="s">
        <v>207</v>
      </c>
      <c r="E136" s="65" t="s">
        <v>6</v>
      </c>
      <c r="F136" s="65">
        <v>3</v>
      </c>
      <c r="G136" s="110">
        <v>0</v>
      </c>
      <c r="H136" s="111">
        <v>0</v>
      </c>
      <c r="I136" s="108">
        <v>0.25</v>
      </c>
      <c r="J136" s="109">
        <f t="shared" ref="J136:J200" si="28">IF(G136=0,I136,I136*(H136/G136))</f>
        <v>0.25</v>
      </c>
      <c r="K136" s="113">
        <f t="shared" ref="K136:K200" si="29">G136+(I136*12)</f>
        <v>3</v>
      </c>
      <c r="L136" s="113">
        <f t="shared" ref="L136:L200" si="30">H136+(J136*12)</f>
        <v>3</v>
      </c>
      <c r="M136" s="110">
        <v>1</v>
      </c>
      <c r="N136" s="112">
        <f t="shared" ref="N136:N200" si="31">IF(G136=0,M136,M136*(H136/G136))</f>
        <v>1</v>
      </c>
      <c r="O136" s="61">
        <v>1322.97</v>
      </c>
      <c r="P136" s="21">
        <f t="shared" ref="P136:P200" si="32">O136*N136</f>
        <v>1322.97</v>
      </c>
      <c r="Q136" s="128">
        <f t="shared" ref="Q136:Q200" si="33">K136-M136</f>
        <v>2</v>
      </c>
      <c r="R136" s="128">
        <f t="shared" ref="R136:R200" si="34">L136-N136</f>
        <v>2</v>
      </c>
    </row>
    <row r="137" spans="1:18" ht="14.5" x14ac:dyDescent="0.3">
      <c r="A137" s="62">
        <v>124</v>
      </c>
      <c r="B137" s="63">
        <v>4</v>
      </c>
      <c r="C137" s="64" t="s">
        <v>208</v>
      </c>
      <c r="D137" s="64" t="s">
        <v>209</v>
      </c>
      <c r="E137" s="65" t="s">
        <v>6</v>
      </c>
      <c r="F137" s="65">
        <v>3</v>
      </c>
      <c r="G137" s="110">
        <v>1</v>
      </c>
      <c r="H137" s="111">
        <v>1</v>
      </c>
      <c r="I137" s="108">
        <v>0.25</v>
      </c>
      <c r="J137" s="109">
        <f t="shared" si="28"/>
        <v>0.25</v>
      </c>
      <c r="K137" s="113">
        <f t="shared" si="29"/>
        <v>4</v>
      </c>
      <c r="L137" s="113">
        <f t="shared" si="30"/>
        <v>4</v>
      </c>
      <c r="M137" s="110">
        <v>3</v>
      </c>
      <c r="N137" s="112">
        <f t="shared" si="31"/>
        <v>3</v>
      </c>
      <c r="O137" s="61">
        <v>2850</v>
      </c>
      <c r="P137" s="21">
        <f t="shared" si="32"/>
        <v>8550</v>
      </c>
      <c r="Q137" s="128">
        <f t="shared" si="33"/>
        <v>1</v>
      </c>
      <c r="R137" s="128">
        <f t="shared" si="34"/>
        <v>1</v>
      </c>
    </row>
    <row r="138" spans="1:18" ht="14.5" x14ac:dyDescent="0.3">
      <c r="A138" s="16">
        <v>125</v>
      </c>
      <c r="B138" s="17">
        <v>4</v>
      </c>
      <c r="C138" s="18" t="s">
        <v>210</v>
      </c>
      <c r="D138" s="19" t="s">
        <v>211</v>
      </c>
      <c r="E138" s="20" t="s">
        <v>6</v>
      </c>
      <c r="F138" s="20">
        <v>3</v>
      </c>
      <c r="G138" s="110">
        <v>0</v>
      </c>
      <c r="H138" s="111">
        <v>0</v>
      </c>
      <c r="I138" s="108">
        <v>0.25</v>
      </c>
      <c r="J138" s="109">
        <f t="shared" si="28"/>
        <v>0.25</v>
      </c>
      <c r="K138" s="113">
        <f t="shared" si="29"/>
        <v>3</v>
      </c>
      <c r="L138" s="113">
        <f t="shared" si="30"/>
        <v>3</v>
      </c>
      <c r="M138" s="110">
        <v>1</v>
      </c>
      <c r="N138" s="112">
        <f t="shared" si="31"/>
        <v>1</v>
      </c>
      <c r="O138" s="61">
        <v>2334.38</v>
      </c>
      <c r="P138" s="21">
        <f t="shared" si="32"/>
        <v>2334.38</v>
      </c>
      <c r="Q138" s="128">
        <f t="shared" si="33"/>
        <v>2</v>
      </c>
      <c r="R138" s="128">
        <f t="shared" si="34"/>
        <v>2</v>
      </c>
    </row>
    <row r="139" spans="1:18" ht="27" customHeight="1" x14ac:dyDescent="0.3">
      <c r="A139" s="16">
        <v>126</v>
      </c>
      <c r="B139" s="17">
        <v>4</v>
      </c>
      <c r="C139" s="18" t="s">
        <v>212</v>
      </c>
      <c r="D139" s="19" t="s">
        <v>213</v>
      </c>
      <c r="E139" s="20" t="s">
        <v>6</v>
      </c>
      <c r="F139" s="20">
        <v>3</v>
      </c>
      <c r="G139" s="110">
        <v>0</v>
      </c>
      <c r="H139" s="111">
        <v>0</v>
      </c>
      <c r="I139" s="108">
        <v>0.25</v>
      </c>
      <c r="J139" s="109">
        <f t="shared" si="28"/>
        <v>0.25</v>
      </c>
      <c r="K139" s="113">
        <f t="shared" si="29"/>
        <v>3</v>
      </c>
      <c r="L139" s="113">
        <f t="shared" si="30"/>
        <v>3</v>
      </c>
      <c r="M139" s="110">
        <v>1</v>
      </c>
      <c r="N139" s="112">
        <f t="shared" si="31"/>
        <v>1</v>
      </c>
      <c r="O139" s="61">
        <v>2749.81</v>
      </c>
      <c r="P139" s="21">
        <f t="shared" si="32"/>
        <v>2749.81</v>
      </c>
      <c r="Q139" s="128">
        <f t="shared" si="33"/>
        <v>2</v>
      </c>
      <c r="R139" s="128">
        <f t="shared" si="34"/>
        <v>2</v>
      </c>
    </row>
    <row r="140" spans="1:18" ht="14.5" x14ac:dyDescent="0.3">
      <c r="A140" s="62">
        <v>127</v>
      </c>
      <c r="B140" s="63">
        <v>4</v>
      </c>
      <c r="C140" s="64" t="s">
        <v>214</v>
      </c>
      <c r="D140" s="64" t="s">
        <v>215</v>
      </c>
      <c r="E140" s="65" t="s">
        <v>6</v>
      </c>
      <c r="F140" s="65">
        <v>3</v>
      </c>
      <c r="G140" s="110">
        <v>1</v>
      </c>
      <c r="H140" s="111">
        <v>1</v>
      </c>
      <c r="I140" s="108">
        <v>0.25</v>
      </c>
      <c r="J140" s="109">
        <f t="shared" si="28"/>
        <v>0.25</v>
      </c>
      <c r="K140" s="113">
        <f t="shared" si="29"/>
        <v>4</v>
      </c>
      <c r="L140" s="113">
        <f t="shared" si="30"/>
        <v>4</v>
      </c>
      <c r="M140" s="110">
        <v>2</v>
      </c>
      <c r="N140" s="112">
        <f t="shared" si="31"/>
        <v>2</v>
      </c>
      <c r="O140" s="61">
        <v>930</v>
      </c>
      <c r="P140" s="21">
        <f t="shared" si="32"/>
        <v>1860</v>
      </c>
      <c r="Q140" s="128">
        <f t="shared" si="33"/>
        <v>2</v>
      </c>
      <c r="R140" s="128">
        <f t="shared" si="34"/>
        <v>2</v>
      </c>
    </row>
    <row r="141" spans="1:18" ht="14.5" x14ac:dyDescent="0.3">
      <c r="A141" s="62">
        <v>128</v>
      </c>
      <c r="B141" s="63">
        <v>4</v>
      </c>
      <c r="C141" s="64" t="s">
        <v>216</v>
      </c>
      <c r="D141" s="64" t="s">
        <v>217</v>
      </c>
      <c r="E141" s="65" t="s">
        <v>6</v>
      </c>
      <c r="F141" s="65">
        <v>3</v>
      </c>
      <c r="G141" s="110">
        <v>0</v>
      </c>
      <c r="H141" s="111">
        <v>0</v>
      </c>
      <c r="I141" s="108">
        <v>0.25</v>
      </c>
      <c r="J141" s="109">
        <f t="shared" si="28"/>
        <v>0.25</v>
      </c>
      <c r="K141" s="113">
        <f t="shared" si="29"/>
        <v>3</v>
      </c>
      <c r="L141" s="113">
        <f t="shared" si="30"/>
        <v>3</v>
      </c>
      <c r="M141" s="110">
        <v>2</v>
      </c>
      <c r="N141" s="112">
        <f t="shared" si="31"/>
        <v>2</v>
      </c>
      <c r="O141" s="61">
        <v>578.65</v>
      </c>
      <c r="P141" s="21">
        <f t="shared" si="32"/>
        <v>1157.3</v>
      </c>
      <c r="Q141" s="128">
        <f t="shared" si="33"/>
        <v>1</v>
      </c>
      <c r="R141" s="128">
        <f t="shared" si="34"/>
        <v>1</v>
      </c>
    </row>
    <row r="142" spans="1:18" ht="14.5" x14ac:dyDescent="0.3">
      <c r="A142" s="16">
        <v>129</v>
      </c>
      <c r="B142" s="17">
        <v>4</v>
      </c>
      <c r="C142" s="18" t="s">
        <v>218</v>
      </c>
      <c r="D142" s="19" t="s">
        <v>219</v>
      </c>
      <c r="E142" s="20" t="s">
        <v>6</v>
      </c>
      <c r="F142" s="20">
        <v>3</v>
      </c>
      <c r="G142" s="110">
        <v>0</v>
      </c>
      <c r="H142" s="111">
        <v>0</v>
      </c>
      <c r="I142" s="110">
        <v>0.5</v>
      </c>
      <c r="J142" s="112">
        <f t="shared" si="28"/>
        <v>0.5</v>
      </c>
      <c r="K142" s="113">
        <f t="shared" si="29"/>
        <v>6</v>
      </c>
      <c r="L142" s="113">
        <f t="shared" si="30"/>
        <v>6</v>
      </c>
      <c r="M142" s="110">
        <v>6</v>
      </c>
      <c r="N142" s="112">
        <f t="shared" si="31"/>
        <v>6</v>
      </c>
      <c r="O142" s="61">
        <v>578.65</v>
      </c>
      <c r="P142" s="21">
        <f t="shared" si="32"/>
        <v>3471.8999999999996</v>
      </c>
      <c r="Q142" s="128">
        <f t="shared" si="33"/>
        <v>0</v>
      </c>
      <c r="R142" s="128">
        <f t="shared" si="34"/>
        <v>0</v>
      </c>
    </row>
    <row r="143" spans="1:18" ht="14.5" x14ac:dyDescent="0.3">
      <c r="A143" s="16">
        <v>130</v>
      </c>
      <c r="B143" s="17">
        <v>4</v>
      </c>
      <c r="C143" s="18" t="s">
        <v>220</v>
      </c>
      <c r="D143" s="19" t="s">
        <v>221</v>
      </c>
      <c r="E143" s="20" t="s">
        <v>6</v>
      </c>
      <c r="F143" s="20">
        <v>3</v>
      </c>
      <c r="G143" s="110">
        <v>0</v>
      </c>
      <c r="H143" s="111">
        <v>0</v>
      </c>
      <c r="I143" s="110">
        <v>0.5</v>
      </c>
      <c r="J143" s="112">
        <f t="shared" si="28"/>
        <v>0.5</v>
      </c>
      <c r="K143" s="113">
        <f t="shared" si="29"/>
        <v>6</v>
      </c>
      <c r="L143" s="113">
        <f t="shared" si="30"/>
        <v>6</v>
      </c>
      <c r="M143" s="110">
        <v>5</v>
      </c>
      <c r="N143" s="112">
        <f t="shared" si="31"/>
        <v>5</v>
      </c>
      <c r="O143" s="61">
        <v>618.22</v>
      </c>
      <c r="P143" s="21">
        <f t="shared" si="32"/>
        <v>3091.1000000000004</v>
      </c>
      <c r="Q143" s="128">
        <f t="shared" si="33"/>
        <v>1</v>
      </c>
      <c r="R143" s="128">
        <f t="shared" si="34"/>
        <v>1</v>
      </c>
    </row>
    <row r="144" spans="1:18" ht="25.75" customHeight="1" x14ac:dyDescent="0.3">
      <c r="A144" s="62">
        <v>131</v>
      </c>
      <c r="B144" s="63">
        <v>4</v>
      </c>
      <c r="C144" s="64" t="s">
        <v>222</v>
      </c>
      <c r="D144" s="64" t="s">
        <v>223</v>
      </c>
      <c r="E144" s="65" t="s">
        <v>6</v>
      </c>
      <c r="F144" s="65">
        <v>3</v>
      </c>
      <c r="G144" s="110">
        <v>0</v>
      </c>
      <c r="H144" s="111">
        <v>0</v>
      </c>
      <c r="I144" s="108">
        <v>0.25</v>
      </c>
      <c r="J144" s="109">
        <f t="shared" si="28"/>
        <v>0.25</v>
      </c>
      <c r="K144" s="113">
        <f t="shared" si="29"/>
        <v>3</v>
      </c>
      <c r="L144" s="113">
        <f t="shared" si="30"/>
        <v>3</v>
      </c>
      <c r="M144" s="110">
        <v>3</v>
      </c>
      <c r="N144" s="112">
        <f t="shared" si="31"/>
        <v>3</v>
      </c>
      <c r="O144" s="61">
        <v>578.65</v>
      </c>
      <c r="P144" s="21">
        <f t="shared" si="32"/>
        <v>1735.9499999999998</v>
      </c>
      <c r="Q144" s="128">
        <f t="shared" si="33"/>
        <v>0</v>
      </c>
      <c r="R144" s="128">
        <f t="shared" si="34"/>
        <v>0</v>
      </c>
    </row>
    <row r="145" spans="1:18" ht="14.5" x14ac:dyDescent="0.3">
      <c r="A145" s="62">
        <v>132</v>
      </c>
      <c r="B145" s="63">
        <v>4</v>
      </c>
      <c r="C145" s="64" t="s">
        <v>224</v>
      </c>
      <c r="D145" s="64" t="s">
        <v>225</v>
      </c>
      <c r="E145" s="65" t="s">
        <v>6</v>
      </c>
      <c r="F145" s="65">
        <v>3</v>
      </c>
      <c r="G145" s="110">
        <v>0</v>
      </c>
      <c r="H145" s="111">
        <v>0</v>
      </c>
      <c r="I145" s="108">
        <v>0.25</v>
      </c>
      <c r="J145" s="109">
        <f t="shared" si="28"/>
        <v>0.25</v>
      </c>
      <c r="K145" s="113">
        <f t="shared" si="29"/>
        <v>3</v>
      </c>
      <c r="L145" s="113">
        <f t="shared" si="30"/>
        <v>3</v>
      </c>
      <c r="M145" s="110">
        <v>2</v>
      </c>
      <c r="N145" s="112">
        <f t="shared" si="31"/>
        <v>2</v>
      </c>
      <c r="O145" s="61">
        <v>939.68</v>
      </c>
      <c r="P145" s="21">
        <f t="shared" si="32"/>
        <v>1879.36</v>
      </c>
      <c r="Q145" s="128">
        <f t="shared" si="33"/>
        <v>1</v>
      </c>
      <c r="R145" s="128">
        <f t="shared" si="34"/>
        <v>1</v>
      </c>
    </row>
    <row r="146" spans="1:18" ht="14.5" x14ac:dyDescent="0.3">
      <c r="A146" s="16">
        <v>133</v>
      </c>
      <c r="B146" s="17">
        <v>4</v>
      </c>
      <c r="C146" s="18">
        <v>133</v>
      </c>
      <c r="D146" s="19" t="s">
        <v>226</v>
      </c>
      <c r="E146" s="20" t="s">
        <v>6</v>
      </c>
      <c r="F146" s="20">
        <v>4</v>
      </c>
      <c r="G146" s="110">
        <v>0</v>
      </c>
      <c r="H146" s="111">
        <v>0</v>
      </c>
      <c r="I146" s="108">
        <v>0.25</v>
      </c>
      <c r="J146" s="109">
        <f t="shared" si="28"/>
        <v>0.25</v>
      </c>
      <c r="K146" s="113">
        <f t="shared" si="29"/>
        <v>3</v>
      </c>
      <c r="L146" s="113">
        <f t="shared" si="30"/>
        <v>3</v>
      </c>
      <c r="M146" s="110">
        <v>2</v>
      </c>
      <c r="N146" s="112">
        <f t="shared" si="31"/>
        <v>2</v>
      </c>
      <c r="O146" s="61">
        <v>1876.89</v>
      </c>
      <c r="P146" s="21">
        <f t="shared" si="32"/>
        <v>3753.78</v>
      </c>
      <c r="Q146" s="128">
        <f t="shared" si="33"/>
        <v>1</v>
      </c>
      <c r="R146" s="128">
        <f t="shared" si="34"/>
        <v>1</v>
      </c>
    </row>
    <row r="147" spans="1:18" ht="14.5" x14ac:dyDescent="0.3">
      <c r="A147" s="16">
        <v>134</v>
      </c>
      <c r="B147" s="17">
        <v>4</v>
      </c>
      <c r="C147" s="18" t="s">
        <v>227</v>
      </c>
      <c r="D147" s="19" t="s">
        <v>228</v>
      </c>
      <c r="E147" s="20" t="s">
        <v>6</v>
      </c>
      <c r="F147" s="20">
        <v>3</v>
      </c>
      <c r="G147" s="110">
        <v>1</v>
      </c>
      <c r="H147" s="111">
        <v>1</v>
      </c>
      <c r="I147" s="110">
        <v>0.5</v>
      </c>
      <c r="J147" s="112">
        <f t="shared" si="28"/>
        <v>0.5</v>
      </c>
      <c r="K147" s="113">
        <f t="shared" si="29"/>
        <v>7</v>
      </c>
      <c r="L147" s="113">
        <f t="shared" si="30"/>
        <v>7</v>
      </c>
      <c r="M147" s="110">
        <v>7</v>
      </c>
      <c r="N147" s="112">
        <f t="shared" si="31"/>
        <v>7</v>
      </c>
      <c r="O147" s="61">
        <v>1868.42</v>
      </c>
      <c r="P147" s="21">
        <f t="shared" si="32"/>
        <v>13078.94</v>
      </c>
      <c r="Q147" s="128">
        <f t="shared" si="33"/>
        <v>0</v>
      </c>
      <c r="R147" s="128">
        <f t="shared" si="34"/>
        <v>0</v>
      </c>
    </row>
    <row r="148" spans="1:18" ht="14.5" x14ac:dyDescent="0.3">
      <c r="A148" s="62">
        <v>135</v>
      </c>
      <c r="B148" s="63">
        <v>4</v>
      </c>
      <c r="C148" s="64" t="s">
        <v>229</v>
      </c>
      <c r="D148" s="64" t="s">
        <v>230</v>
      </c>
      <c r="E148" s="65" t="s">
        <v>6</v>
      </c>
      <c r="F148" s="65">
        <v>3</v>
      </c>
      <c r="G148" s="110">
        <v>0</v>
      </c>
      <c r="H148" s="111">
        <v>0</v>
      </c>
      <c r="I148" s="108">
        <v>0.25</v>
      </c>
      <c r="J148" s="109">
        <f t="shared" si="28"/>
        <v>0.25</v>
      </c>
      <c r="K148" s="113">
        <f t="shared" si="29"/>
        <v>3</v>
      </c>
      <c r="L148" s="113">
        <f t="shared" si="30"/>
        <v>3</v>
      </c>
      <c r="M148" s="110">
        <v>1</v>
      </c>
      <c r="N148" s="112">
        <f t="shared" si="31"/>
        <v>1</v>
      </c>
      <c r="O148" s="61">
        <v>2546.0300000000002</v>
      </c>
      <c r="P148" s="21">
        <f t="shared" si="32"/>
        <v>2546.0300000000002</v>
      </c>
      <c r="Q148" s="128">
        <f t="shared" si="33"/>
        <v>2</v>
      </c>
      <c r="R148" s="128">
        <f t="shared" si="34"/>
        <v>2</v>
      </c>
    </row>
    <row r="149" spans="1:18" ht="14.5" x14ac:dyDescent="0.3">
      <c r="A149" s="62">
        <v>136</v>
      </c>
      <c r="B149" s="63">
        <v>4</v>
      </c>
      <c r="C149" s="64" t="s">
        <v>231</v>
      </c>
      <c r="D149" s="64" t="s">
        <v>232</v>
      </c>
      <c r="E149" s="65" t="s">
        <v>6</v>
      </c>
      <c r="F149" s="65">
        <v>3</v>
      </c>
      <c r="G149" s="110">
        <v>10</v>
      </c>
      <c r="H149" s="111">
        <v>11</v>
      </c>
      <c r="I149" s="110">
        <v>10</v>
      </c>
      <c r="J149" s="112">
        <f t="shared" si="28"/>
        <v>11</v>
      </c>
      <c r="K149" s="113">
        <f t="shared" si="29"/>
        <v>130</v>
      </c>
      <c r="L149" s="113">
        <f t="shared" si="30"/>
        <v>143</v>
      </c>
      <c r="M149" s="110">
        <v>120</v>
      </c>
      <c r="N149" s="112">
        <f t="shared" si="31"/>
        <v>132</v>
      </c>
      <c r="O149" s="61">
        <v>2870.92</v>
      </c>
      <c r="P149" s="21">
        <f t="shared" si="32"/>
        <v>378961.44</v>
      </c>
      <c r="Q149" s="128">
        <f t="shared" si="33"/>
        <v>10</v>
      </c>
      <c r="R149" s="128">
        <f t="shared" si="34"/>
        <v>11</v>
      </c>
    </row>
    <row r="150" spans="1:18" ht="14.5" x14ac:dyDescent="0.3">
      <c r="A150" s="16">
        <v>137</v>
      </c>
      <c r="B150" s="17">
        <v>4</v>
      </c>
      <c r="C150" s="18" t="s">
        <v>233</v>
      </c>
      <c r="D150" s="19" t="s">
        <v>234</v>
      </c>
      <c r="E150" s="20" t="s">
        <v>6</v>
      </c>
      <c r="F150" s="20">
        <v>3</v>
      </c>
      <c r="G150" s="110">
        <v>1</v>
      </c>
      <c r="H150" s="111">
        <v>1</v>
      </c>
      <c r="I150" s="108">
        <v>0.25</v>
      </c>
      <c r="J150" s="109">
        <f t="shared" si="28"/>
        <v>0.25</v>
      </c>
      <c r="K150" s="113">
        <f t="shared" si="29"/>
        <v>4</v>
      </c>
      <c r="L150" s="113">
        <f t="shared" si="30"/>
        <v>4</v>
      </c>
      <c r="M150" s="110">
        <v>1</v>
      </c>
      <c r="N150" s="112">
        <f t="shared" si="31"/>
        <v>1</v>
      </c>
      <c r="O150" s="61">
        <v>4004.18</v>
      </c>
      <c r="P150" s="21">
        <f t="shared" si="32"/>
        <v>4004.18</v>
      </c>
      <c r="Q150" s="128">
        <f t="shared" si="33"/>
        <v>3</v>
      </c>
      <c r="R150" s="128">
        <f t="shared" si="34"/>
        <v>3</v>
      </c>
    </row>
    <row r="151" spans="1:18" ht="14.5" x14ac:dyDescent="0.3">
      <c r="A151" s="16">
        <v>138</v>
      </c>
      <c r="B151" s="17">
        <v>4</v>
      </c>
      <c r="C151" s="18" t="s">
        <v>235</v>
      </c>
      <c r="D151" s="19" t="s">
        <v>236</v>
      </c>
      <c r="E151" s="20" t="s">
        <v>6</v>
      </c>
      <c r="F151" s="20">
        <v>3</v>
      </c>
      <c r="G151" s="110">
        <v>7</v>
      </c>
      <c r="H151" s="111">
        <v>7</v>
      </c>
      <c r="I151" s="110">
        <v>7.25</v>
      </c>
      <c r="J151" s="112">
        <f t="shared" si="28"/>
        <v>7.25</v>
      </c>
      <c r="K151" s="113">
        <f t="shared" si="29"/>
        <v>94</v>
      </c>
      <c r="L151" s="113">
        <f t="shared" si="30"/>
        <v>94</v>
      </c>
      <c r="M151" s="110">
        <v>87</v>
      </c>
      <c r="N151" s="112">
        <f t="shared" si="31"/>
        <v>87</v>
      </c>
      <c r="O151" s="61">
        <v>4250.43</v>
      </c>
      <c r="P151" s="21">
        <f t="shared" si="32"/>
        <v>369787.41000000003</v>
      </c>
      <c r="Q151" s="128">
        <f t="shared" si="33"/>
        <v>7</v>
      </c>
      <c r="R151" s="128">
        <f t="shared" si="34"/>
        <v>7</v>
      </c>
    </row>
    <row r="152" spans="1:18" ht="14.5" x14ac:dyDescent="0.3">
      <c r="A152" s="62">
        <v>139</v>
      </c>
      <c r="B152" s="63">
        <v>4</v>
      </c>
      <c r="C152" s="64" t="s">
        <v>237</v>
      </c>
      <c r="D152" s="64" t="s">
        <v>238</v>
      </c>
      <c r="E152" s="65" t="s">
        <v>6</v>
      </c>
      <c r="F152" s="65">
        <v>3</v>
      </c>
      <c r="G152" s="110">
        <v>1</v>
      </c>
      <c r="H152" s="111">
        <v>1</v>
      </c>
      <c r="I152" s="108">
        <v>0.25</v>
      </c>
      <c r="J152" s="109">
        <f t="shared" si="28"/>
        <v>0.25</v>
      </c>
      <c r="K152" s="113">
        <f t="shared" si="29"/>
        <v>4</v>
      </c>
      <c r="L152" s="113">
        <f t="shared" si="30"/>
        <v>4</v>
      </c>
      <c r="M152" s="110">
        <v>3</v>
      </c>
      <c r="N152" s="112">
        <f t="shared" si="31"/>
        <v>3</v>
      </c>
      <c r="O152" s="61">
        <v>5908.83</v>
      </c>
      <c r="P152" s="21">
        <f t="shared" si="32"/>
        <v>17726.489999999998</v>
      </c>
      <c r="Q152" s="128">
        <f t="shared" si="33"/>
        <v>1</v>
      </c>
      <c r="R152" s="128">
        <f t="shared" si="34"/>
        <v>1</v>
      </c>
    </row>
    <row r="153" spans="1:18" ht="14.5" x14ac:dyDescent="0.3">
      <c r="A153" s="62">
        <v>140</v>
      </c>
      <c r="B153" s="63">
        <v>4</v>
      </c>
      <c r="C153" s="64" t="s">
        <v>239</v>
      </c>
      <c r="D153" s="64" t="s">
        <v>240</v>
      </c>
      <c r="E153" s="65" t="s">
        <v>6</v>
      </c>
      <c r="F153" s="65">
        <v>3</v>
      </c>
      <c r="G153" s="110">
        <v>0</v>
      </c>
      <c r="H153" s="111">
        <v>0</v>
      </c>
      <c r="I153" s="108">
        <v>0.25</v>
      </c>
      <c r="J153" s="109">
        <f t="shared" si="28"/>
        <v>0.25</v>
      </c>
      <c r="K153" s="113">
        <f t="shared" si="29"/>
        <v>3</v>
      </c>
      <c r="L153" s="113">
        <f t="shared" si="30"/>
        <v>3</v>
      </c>
      <c r="M153" s="110">
        <v>1</v>
      </c>
      <c r="N153" s="112">
        <f t="shared" si="31"/>
        <v>1</v>
      </c>
      <c r="O153" s="61">
        <v>5908.83</v>
      </c>
      <c r="P153" s="21">
        <f t="shared" si="32"/>
        <v>5908.83</v>
      </c>
      <c r="Q153" s="128">
        <f t="shared" si="33"/>
        <v>2</v>
      </c>
      <c r="R153" s="128">
        <f t="shared" si="34"/>
        <v>2</v>
      </c>
    </row>
    <row r="154" spans="1:18" ht="30.65" customHeight="1" x14ac:dyDescent="0.3">
      <c r="A154" s="16">
        <v>141</v>
      </c>
      <c r="B154" s="17">
        <v>4</v>
      </c>
      <c r="C154" s="18" t="s">
        <v>241</v>
      </c>
      <c r="D154" s="19" t="s">
        <v>242</v>
      </c>
      <c r="E154" s="20" t="s">
        <v>6</v>
      </c>
      <c r="F154" s="20">
        <v>3</v>
      </c>
      <c r="G154" s="110">
        <v>1</v>
      </c>
      <c r="H154" s="111">
        <v>1</v>
      </c>
      <c r="I154" s="108">
        <v>0.25</v>
      </c>
      <c r="J154" s="109">
        <f t="shared" si="28"/>
        <v>0.25</v>
      </c>
      <c r="K154" s="113">
        <f t="shared" si="29"/>
        <v>4</v>
      </c>
      <c r="L154" s="113">
        <f t="shared" si="30"/>
        <v>4</v>
      </c>
      <c r="M154" s="110">
        <v>4</v>
      </c>
      <c r="N154" s="112">
        <f t="shared" si="31"/>
        <v>4</v>
      </c>
      <c r="O154" s="61">
        <v>433.94</v>
      </c>
      <c r="P154" s="21">
        <f t="shared" si="32"/>
        <v>1735.76</v>
      </c>
      <c r="Q154" s="128">
        <f t="shared" si="33"/>
        <v>0</v>
      </c>
      <c r="R154" s="128">
        <f t="shared" si="34"/>
        <v>0</v>
      </c>
    </row>
    <row r="155" spans="1:18" ht="30.65" customHeight="1" x14ac:dyDescent="0.3">
      <c r="A155" s="16">
        <v>142</v>
      </c>
      <c r="B155" s="17">
        <v>4</v>
      </c>
      <c r="C155" s="18" t="s">
        <v>243</v>
      </c>
      <c r="D155" s="19" t="s">
        <v>244</v>
      </c>
      <c r="E155" s="20" t="s">
        <v>6</v>
      </c>
      <c r="F155" s="20">
        <v>1</v>
      </c>
      <c r="G155" s="110">
        <v>7</v>
      </c>
      <c r="H155" s="111">
        <v>8</v>
      </c>
      <c r="I155" s="110">
        <v>7</v>
      </c>
      <c r="J155" s="112">
        <f t="shared" si="28"/>
        <v>8</v>
      </c>
      <c r="K155" s="113">
        <f>G155+(I155*12)</f>
        <v>91</v>
      </c>
      <c r="L155" s="113">
        <f t="shared" si="30"/>
        <v>104</v>
      </c>
      <c r="M155" s="110">
        <v>91</v>
      </c>
      <c r="N155" s="112">
        <f t="shared" si="31"/>
        <v>104</v>
      </c>
      <c r="O155" s="61">
        <v>3560.68</v>
      </c>
      <c r="P155" s="21">
        <f t="shared" si="32"/>
        <v>370310.72</v>
      </c>
      <c r="Q155" s="128">
        <f>K155-M155</f>
        <v>0</v>
      </c>
      <c r="R155" s="128">
        <f t="shared" si="34"/>
        <v>0</v>
      </c>
    </row>
    <row r="156" spans="1:18" ht="14.5" x14ac:dyDescent="0.3">
      <c r="A156" s="62">
        <v>143</v>
      </c>
      <c r="B156" s="63">
        <v>4</v>
      </c>
      <c r="C156" s="64">
        <v>143</v>
      </c>
      <c r="D156" s="64" t="s">
        <v>245</v>
      </c>
      <c r="E156" s="65" t="s">
        <v>6</v>
      </c>
      <c r="F156" s="65">
        <v>4</v>
      </c>
      <c r="G156" s="110">
        <v>0</v>
      </c>
      <c r="H156" s="111">
        <v>0</v>
      </c>
      <c r="I156" s="108">
        <v>0.25</v>
      </c>
      <c r="J156" s="109">
        <f t="shared" si="28"/>
        <v>0.25</v>
      </c>
      <c r="K156" s="113">
        <f t="shared" si="29"/>
        <v>3</v>
      </c>
      <c r="L156" s="113">
        <f t="shared" si="30"/>
        <v>3</v>
      </c>
      <c r="M156" s="110">
        <v>2</v>
      </c>
      <c r="N156" s="112">
        <f t="shared" si="31"/>
        <v>2</v>
      </c>
      <c r="O156" s="61">
        <v>2970.07</v>
      </c>
      <c r="P156" s="21">
        <f t="shared" si="32"/>
        <v>5940.14</v>
      </c>
      <c r="Q156" s="128">
        <f t="shared" si="33"/>
        <v>1</v>
      </c>
      <c r="R156" s="128">
        <f t="shared" si="34"/>
        <v>1</v>
      </c>
    </row>
    <row r="157" spans="1:18" ht="14.5" x14ac:dyDescent="0.3">
      <c r="A157" s="62">
        <v>144</v>
      </c>
      <c r="B157" s="63">
        <v>4</v>
      </c>
      <c r="C157" s="64" t="s">
        <v>246</v>
      </c>
      <c r="D157" s="64" t="s">
        <v>247</v>
      </c>
      <c r="E157" s="65" t="s">
        <v>6</v>
      </c>
      <c r="F157" s="65">
        <v>2</v>
      </c>
      <c r="G157" s="110">
        <v>37</v>
      </c>
      <c r="H157" s="111">
        <v>39</v>
      </c>
      <c r="I157" s="110">
        <v>37</v>
      </c>
      <c r="J157" s="112">
        <f t="shared" si="28"/>
        <v>38.999999999999993</v>
      </c>
      <c r="K157" s="113">
        <f t="shared" si="29"/>
        <v>481</v>
      </c>
      <c r="L157" s="113">
        <f t="shared" si="30"/>
        <v>506.99999999999989</v>
      </c>
      <c r="M157" s="110">
        <v>444</v>
      </c>
      <c r="N157" s="112">
        <f t="shared" si="31"/>
        <v>467.99999999999994</v>
      </c>
      <c r="O157" s="61">
        <v>68.88</v>
      </c>
      <c r="P157" s="21">
        <f t="shared" si="32"/>
        <v>32235.839999999993</v>
      </c>
      <c r="Q157" s="128">
        <f t="shared" si="33"/>
        <v>37</v>
      </c>
      <c r="R157" s="128">
        <f t="shared" si="34"/>
        <v>38.999999999999943</v>
      </c>
    </row>
    <row r="158" spans="1:18" s="15" customFormat="1" ht="15" customHeight="1" x14ac:dyDescent="0.3">
      <c r="A158" s="254" t="s">
        <v>248</v>
      </c>
      <c r="B158" s="254"/>
      <c r="C158" s="254"/>
      <c r="D158" s="254"/>
      <c r="E158" s="254"/>
      <c r="F158" s="254"/>
      <c r="G158" s="12">
        <f>SUM(G159:G165)</f>
        <v>210</v>
      </c>
      <c r="H158" s="12">
        <f t="shared" ref="H158" si="35">SUM(H159:H165)</f>
        <v>420</v>
      </c>
      <c r="I158" s="12">
        <f t="shared" ref="I158" si="36">SUM(I159:I165)</f>
        <v>210</v>
      </c>
      <c r="J158" s="12">
        <f t="shared" ref="J158" si="37">SUM(J159:J165)</f>
        <v>420</v>
      </c>
      <c r="K158" s="12">
        <f t="shared" ref="K158" si="38">SUM(K159:K165)</f>
        <v>2730</v>
      </c>
      <c r="L158" s="12">
        <f t="shared" ref="L158" si="39">SUM(L159:L165)</f>
        <v>5460</v>
      </c>
      <c r="M158" s="12">
        <f t="shared" ref="M158" si="40">SUM(M159:M165)</f>
        <v>2520</v>
      </c>
      <c r="N158" s="12">
        <f>IF(G158=0,M158,M158*(H158/G158))</f>
        <v>5040</v>
      </c>
      <c r="O158" s="1" t="s">
        <v>426</v>
      </c>
      <c r="P158" s="14">
        <f>SUM(P159:P165)</f>
        <v>1026834.0000000001</v>
      </c>
      <c r="Q158" s="12">
        <f t="shared" ref="Q158:R158" si="41">SUM(Q159:Q165)</f>
        <v>210</v>
      </c>
      <c r="R158" s="12">
        <f t="shared" si="41"/>
        <v>420</v>
      </c>
    </row>
    <row r="159" spans="1:18" ht="28.75" customHeight="1" x14ac:dyDescent="0.3">
      <c r="A159" s="16">
        <v>145</v>
      </c>
      <c r="B159" s="17">
        <v>5</v>
      </c>
      <c r="C159" s="18" t="s">
        <v>249</v>
      </c>
      <c r="D159" s="19" t="s">
        <v>250</v>
      </c>
      <c r="E159" s="20" t="s">
        <v>6</v>
      </c>
      <c r="F159" s="20">
        <v>0.5</v>
      </c>
      <c r="G159" s="110">
        <v>100</v>
      </c>
      <c r="H159" s="111">
        <v>200</v>
      </c>
      <c r="I159" s="110">
        <v>81</v>
      </c>
      <c r="J159" s="112">
        <f t="shared" si="28"/>
        <v>162</v>
      </c>
      <c r="K159" s="113">
        <f t="shared" si="29"/>
        <v>1072</v>
      </c>
      <c r="L159" s="113">
        <f t="shared" si="30"/>
        <v>2144</v>
      </c>
      <c r="M159" s="110">
        <f>1212-150</f>
        <v>1062</v>
      </c>
      <c r="N159" s="112">
        <f t="shared" si="31"/>
        <v>2124</v>
      </c>
      <c r="O159" s="61">
        <v>108.27</v>
      </c>
      <c r="P159" s="21">
        <f t="shared" si="32"/>
        <v>229965.47999999998</v>
      </c>
      <c r="Q159" s="128">
        <f t="shared" si="33"/>
        <v>10</v>
      </c>
      <c r="R159" s="128">
        <f t="shared" si="34"/>
        <v>20</v>
      </c>
    </row>
    <row r="160" spans="1:18" ht="14.5" x14ac:dyDescent="0.3">
      <c r="A160" s="16">
        <v>146</v>
      </c>
      <c r="B160" s="17">
        <v>5</v>
      </c>
      <c r="C160" s="18" t="s">
        <v>251</v>
      </c>
      <c r="D160" s="19" t="s">
        <v>252</v>
      </c>
      <c r="E160" s="20" t="s">
        <v>6</v>
      </c>
      <c r="F160" s="20">
        <v>0.5</v>
      </c>
      <c r="G160" s="110">
        <v>52</v>
      </c>
      <c r="H160" s="111">
        <v>104</v>
      </c>
      <c r="I160" s="110">
        <v>52</v>
      </c>
      <c r="J160" s="112">
        <f t="shared" si="28"/>
        <v>104</v>
      </c>
      <c r="K160" s="113">
        <f t="shared" si="29"/>
        <v>676</v>
      </c>
      <c r="L160" s="113">
        <f t="shared" si="30"/>
        <v>1352</v>
      </c>
      <c r="M160" s="110">
        <v>624</v>
      </c>
      <c r="N160" s="112">
        <f t="shared" si="31"/>
        <v>1248</v>
      </c>
      <c r="O160" s="61">
        <v>102.31</v>
      </c>
      <c r="P160" s="21">
        <f t="shared" si="32"/>
        <v>127682.88</v>
      </c>
      <c r="Q160" s="128">
        <f t="shared" si="33"/>
        <v>52</v>
      </c>
      <c r="R160" s="128">
        <f t="shared" si="34"/>
        <v>104</v>
      </c>
    </row>
    <row r="161" spans="1:18" s="66" customFormat="1" ht="26" x14ac:dyDescent="0.3">
      <c r="A161" s="62">
        <v>147</v>
      </c>
      <c r="B161" s="63">
        <v>5</v>
      </c>
      <c r="C161" s="171">
        <v>147</v>
      </c>
      <c r="D161" s="172" t="s">
        <v>519</v>
      </c>
      <c r="E161" s="173" t="s">
        <v>6</v>
      </c>
      <c r="F161" s="173">
        <v>0.5</v>
      </c>
      <c r="G161" s="110">
        <v>1</v>
      </c>
      <c r="H161" s="111">
        <v>2</v>
      </c>
      <c r="I161" s="110">
        <v>20</v>
      </c>
      <c r="J161" s="112">
        <f t="shared" ref="J161" si="42">IF(G161=0,I161,I161*(H161/G161))</f>
        <v>40</v>
      </c>
      <c r="K161" s="113">
        <f t="shared" ref="K161" si="43">G161+(I161*12)</f>
        <v>241</v>
      </c>
      <c r="L161" s="113">
        <f t="shared" ref="L161" si="44">H161+(J161*12)</f>
        <v>482</v>
      </c>
      <c r="M161" s="110">
        <v>150</v>
      </c>
      <c r="N161" s="112">
        <f t="shared" si="31"/>
        <v>300</v>
      </c>
      <c r="O161" s="61">
        <v>108.27</v>
      </c>
      <c r="P161" s="21">
        <f t="shared" si="32"/>
        <v>32481</v>
      </c>
      <c r="Q161" s="128">
        <f t="shared" ref="Q161" si="45">K161-M161</f>
        <v>91</v>
      </c>
      <c r="R161" s="128">
        <f t="shared" ref="R161" si="46">L161-N161</f>
        <v>182</v>
      </c>
    </row>
    <row r="162" spans="1:18" ht="14.5" x14ac:dyDescent="0.3">
      <c r="A162" s="62">
        <v>148</v>
      </c>
      <c r="B162" s="63">
        <v>5</v>
      </c>
      <c r="C162" s="64" t="s">
        <v>253</v>
      </c>
      <c r="D162" s="64" t="s">
        <v>254</v>
      </c>
      <c r="E162" s="65" t="s">
        <v>6</v>
      </c>
      <c r="F162" s="65">
        <v>0.5</v>
      </c>
      <c r="G162" s="110">
        <v>22</v>
      </c>
      <c r="H162" s="111">
        <v>44</v>
      </c>
      <c r="I162" s="110">
        <v>22</v>
      </c>
      <c r="J162" s="112">
        <f t="shared" si="28"/>
        <v>44</v>
      </c>
      <c r="K162" s="113">
        <f t="shared" si="29"/>
        <v>286</v>
      </c>
      <c r="L162" s="113">
        <f t="shared" si="30"/>
        <v>572</v>
      </c>
      <c r="M162" s="110">
        <v>264</v>
      </c>
      <c r="N162" s="112">
        <f t="shared" si="31"/>
        <v>528</v>
      </c>
      <c r="O162" s="61">
        <v>483.31</v>
      </c>
      <c r="P162" s="21">
        <f t="shared" si="32"/>
        <v>255187.68</v>
      </c>
      <c r="Q162" s="128">
        <f t="shared" si="33"/>
        <v>22</v>
      </c>
      <c r="R162" s="128">
        <f t="shared" si="34"/>
        <v>44</v>
      </c>
    </row>
    <row r="163" spans="1:18" ht="26" x14ac:dyDescent="0.3">
      <c r="A163" s="62">
        <v>149</v>
      </c>
      <c r="B163" s="63">
        <v>5</v>
      </c>
      <c r="C163" s="64" t="s">
        <v>255</v>
      </c>
      <c r="D163" s="64" t="s">
        <v>256</v>
      </c>
      <c r="E163" s="65" t="s">
        <v>6</v>
      </c>
      <c r="F163" s="65">
        <v>0.5</v>
      </c>
      <c r="G163" s="110">
        <v>8</v>
      </c>
      <c r="H163" s="111">
        <v>16</v>
      </c>
      <c r="I163" s="110">
        <v>8</v>
      </c>
      <c r="J163" s="112">
        <f t="shared" si="28"/>
        <v>16</v>
      </c>
      <c r="K163" s="113">
        <f t="shared" si="29"/>
        <v>104</v>
      </c>
      <c r="L163" s="113">
        <f t="shared" si="30"/>
        <v>208</v>
      </c>
      <c r="M163" s="110">
        <v>96</v>
      </c>
      <c r="N163" s="112">
        <f t="shared" si="31"/>
        <v>192</v>
      </c>
      <c r="O163" s="61">
        <v>313.29000000000002</v>
      </c>
      <c r="P163" s="21">
        <f t="shared" si="32"/>
        <v>60151.680000000008</v>
      </c>
      <c r="Q163" s="128">
        <f t="shared" si="33"/>
        <v>8</v>
      </c>
      <c r="R163" s="128">
        <f t="shared" si="34"/>
        <v>16</v>
      </c>
    </row>
    <row r="164" spans="1:18" ht="26" x14ac:dyDescent="0.3">
      <c r="A164" s="16">
        <v>150</v>
      </c>
      <c r="B164" s="16">
        <v>5</v>
      </c>
      <c r="C164" s="18" t="s">
        <v>257</v>
      </c>
      <c r="D164" s="19" t="s">
        <v>258</v>
      </c>
      <c r="E164" s="20" t="s">
        <v>6</v>
      </c>
      <c r="F164" s="20">
        <v>0.5</v>
      </c>
      <c r="G164" s="110">
        <v>22</v>
      </c>
      <c r="H164" s="111">
        <v>44</v>
      </c>
      <c r="I164" s="110">
        <v>22</v>
      </c>
      <c r="J164" s="112">
        <f t="shared" si="28"/>
        <v>44</v>
      </c>
      <c r="K164" s="113">
        <f t="shared" si="29"/>
        <v>286</v>
      </c>
      <c r="L164" s="113">
        <f t="shared" si="30"/>
        <v>572</v>
      </c>
      <c r="M164" s="110">
        <v>264</v>
      </c>
      <c r="N164" s="112">
        <f t="shared" si="31"/>
        <v>528</v>
      </c>
      <c r="O164" s="61">
        <v>483.31</v>
      </c>
      <c r="P164" s="21">
        <f t="shared" si="32"/>
        <v>255187.68</v>
      </c>
      <c r="Q164" s="128">
        <f t="shared" si="33"/>
        <v>22</v>
      </c>
      <c r="R164" s="128">
        <f t="shared" si="34"/>
        <v>44</v>
      </c>
    </row>
    <row r="165" spans="1:18" ht="26" x14ac:dyDescent="0.3">
      <c r="A165" s="16">
        <v>151</v>
      </c>
      <c r="B165" s="16">
        <v>5</v>
      </c>
      <c r="C165" s="18" t="s">
        <v>259</v>
      </c>
      <c r="D165" s="19" t="s">
        <v>260</v>
      </c>
      <c r="E165" s="20" t="s">
        <v>6</v>
      </c>
      <c r="F165" s="20">
        <v>0.5</v>
      </c>
      <c r="G165" s="110">
        <v>5</v>
      </c>
      <c r="H165" s="111">
        <v>10</v>
      </c>
      <c r="I165" s="110">
        <v>5</v>
      </c>
      <c r="J165" s="112">
        <f t="shared" si="28"/>
        <v>10</v>
      </c>
      <c r="K165" s="113">
        <f t="shared" si="29"/>
        <v>65</v>
      </c>
      <c r="L165" s="113">
        <f t="shared" si="30"/>
        <v>130</v>
      </c>
      <c r="M165" s="110">
        <v>60</v>
      </c>
      <c r="N165" s="112">
        <f t="shared" si="31"/>
        <v>120</v>
      </c>
      <c r="O165" s="61">
        <v>551.48</v>
      </c>
      <c r="P165" s="21">
        <f t="shared" si="32"/>
        <v>66177.600000000006</v>
      </c>
      <c r="Q165" s="128">
        <f t="shared" si="33"/>
        <v>5</v>
      </c>
      <c r="R165" s="128">
        <f t="shared" si="34"/>
        <v>10</v>
      </c>
    </row>
    <row r="166" spans="1:18" s="15" customFormat="1" ht="15" customHeight="1" x14ac:dyDescent="0.3">
      <c r="A166" s="254" t="s">
        <v>261</v>
      </c>
      <c r="B166" s="254"/>
      <c r="C166" s="254"/>
      <c r="D166" s="254"/>
      <c r="E166" s="254"/>
      <c r="F166" s="254"/>
      <c r="G166" s="12">
        <f>SUM(G167:G180)</f>
        <v>385</v>
      </c>
      <c r="H166" s="12">
        <f t="shared" ref="H166:R166" si="47">SUM(H167:H180)</f>
        <v>385</v>
      </c>
      <c r="I166" s="12">
        <f t="shared" si="47"/>
        <v>135.5</v>
      </c>
      <c r="J166" s="12">
        <f t="shared" si="47"/>
        <v>135.5</v>
      </c>
      <c r="K166" s="12">
        <f t="shared" si="47"/>
        <v>2011</v>
      </c>
      <c r="L166" s="12">
        <f t="shared" si="47"/>
        <v>2011</v>
      </c>
      <c r="M166" s="12">
        <f t="shared" si="47"/>
        <v>1622</v>
      </c>
      <c r="N166" s="12">
        <f t="shared" ref="N166" si="48">SUM(N167:N180)</f>
        <v>1622</v>
      </c>
      <c r="O166" s="1" t="s">
        <v>426</v>
      </c>
      <c r="P166" s="14">
        <f t="shared" si="47"/>
        <v>240889.16</v>
      </c>
      <c r="Q166" s="12">
        <f>SUM(Q167:Q180)</f>
        <v>389</v>
      </c>
      <c r="R166" s="12">
        <f t="shared" si="47"/>
        <v>389</v>
      </c>
    </row>
    <row r="167" spans="1:18" ht="14.5" x14ac:dyDescent="0.3">
      <c r="A167" s="16">
        <v>152</v>
      </c>
      <c r="B167" s="17">
        <v>6</v>
      </c>
      <c r="C167" s="22" t="s">
        <v>262</v>
      </c>
      <c r="D167" s="29" t="s">
        <v>263</v>
      </c>
      <c r="E167" s="24" t="s">
        <v>6</v>
      </c>
      <c r="F167" s="24">
        <v>2</v>
      </c>
      <c r="G167" s="110">
        <v>18</v>
      </c>
      <c r="H167" s="111">
        <v>18</v>
      </c>
      <c r="I167" s="110">
        <v>6</v>
      </c>
      <c r="J167" s="112">
        <f t="shared" si="28"/>
        <v>6</v>
      </c>
      <c r="K167" s="113">
        <f t="shared" si="29"/>
        <v>90</v>
      </c>
      <c r="L167" s="113">
        <f t="shared" si="30"/>
        <v>90</v>
      </c>
      <c r="M167" s="110">
        <v>72</v>
      </c>
      <c r="N167" s="112">
        <f t="shared" si="31"/>
        <v>72</v>
      </c>
      <c r="O167" s="61">
        <v>43.23</v>
      </c>
      <c r="P167" s="21">
        <f t="shared" si="32"/>
        <v>3112.56</v>
      </c>
      <c r="Q167" s="128">
        <f t="shared" si="33"/>
        <v>18</v>
      </c>
      <c r="R167" s="128">
        <f t="shared" si="34"/>
        <v>18</v>
      </c>
    </row>
    <row r="168" spans="1:18" ht="14.5" x14ac:dyDescent="0.3">
      <c r="A168" s="16">
        <v>153</v>
      </c>
      <c r="B168" s="17">
        <v>6</v>
      </c>
      <c r="C168" s="22" t="s">
        <v>264</v>
      </c>
      <c r="D168" s="29" t="s">
        <v>265</v>
      </c>
      <c r="E168" s="24" t="s">
        <v>6</v>
      </c>
      <c r="F168" s="24">
        <v>4</v>
      </c>
      <c r="G168" s="110">
        <v>78</v>
      </c>
      <c r="H168" s="111">
        <v>78</v>
      </c>
      <c r="I168" s="110">
        <v>30</v>
      </c>
      <c r="J168" s="112">
        <f t="shared" si="28"/>
        <v>30</v>
      </c>
      <c r="K168" s="113">
        <f t="shared" si="29"/>
        <v>438</v>
      </c>
      <c r="L168" s="113">
        <f t="shared" si="30"/>
        <v>438</v>
      </c>
      <c r="M168" s="110">
        <v>360</v>
      </c>
      <c r="N168" s="112">
        <f t="shared" si="31"/>
        <v>360</v>
      </c>
      <c r="O168" s="61">
        <v>122.08</v>
      </c>
      <c r="P168" s="21">
        <f t="shared" si="32"/>
        <v>43948.800000000003</v>
      </c>
      <c r="Q168" s="128">
        <f t="shared" si="33"/>
        <v>78</v>
      </c>
      <c r="R168" s="128">
        <f t="shared" si="34"/>
        <v>78</v>
      </c>
    </row>
    <row r="169" spans="1:18" ht="14.5" x14ac:dyDescent="0.3">
      <c r="A169" s="16">
        <v>154</v>
      </c>
      <c r="B169" s="17">
        <v>6</v>
      </c>
      <c r="C169" s="22" t="s">
        <v>266</v>
      </c>
      <c r="D169" s="29" t="s">
        <v>267</v>
      </c>
      <c r="E169" s="24" t="s">
        <v>6</v>
      </c>
      <c r="F169" s="24">
        <v>4</v>
      </c>
      <c r="G169" s="110">
        <v>18</v>
      </c>
      <c r="H169" s="111">
        <v>18</v>
      </c>
      <c r="I169" s="110">
        <v>10</v>
      </c>
      <c r="J169" s="112">
        <f t="shared" si="28"/>
        <v>10</v>
      </c>
      <c r="K169" s="113">
        <f t="shared" si="29"/>
        <v>138</v>
      </c>
      <c r="L169" s="113">
        <f t="shared" si="30"/>
        <v>138</v>
      </c>
      <c r="M169" s="110">
        <v>120</v>
      </c>
      <c r="N169" s="112">
        <f t="shared" si="31"/>
        <v>120</v>
      </c>
      <c r="O169" s="61">
        <v>87.36</v>
      </c>
      <c r="P169" s="21">
        <f t="shared" si="32"/>
        <v>10483.200000000001</v>
      </c>
      <c r="Q169" s="128">
        <f t="shared" si="33"/>
        <v>18</v>
      </c>
      <c r="R169" s="128">
        <f t="shared" si="34"/>
        <v>18</v>
      </c>
    </row>
    <row r="170" spans="1:18" ht="14.5" x14ac:dyDescent="0.3">
      <c r="A170" s="16">
        <v>155</v>
      </c>
      <c r="B170" s="17">
        <v>6</v>
      </c>
      <c r="C170" s="18" t="s">
        <v>268</v>
      </c>
      <c r="D170" s="19" t="s">
        <v>269</v>
      </c>
      <c r="E170" s="20" t="s">
        <v>6</v>
      </c>
      <c r="F170" s="20">
        <v>4</v>
      </c>
      <c r="G170" s="110">
        <v>14</v>
      </c>
      <c r="H170" s="111">
        <v>14</v>
      </c>
      <c r="I170" s="110">
        <v>3</v>
      </c>
      <c r="J170" s="112">
        <f t="shared" si="28"/>
        <v>3</v>
      </c>
      <c r="K170" s="113">
        <f t="shared" si="29"/>
        <v>50</v>
      </c>
      <c r="L170" s="113">
        <f t="shared" si="30"/>
        <v>50</v>
      </c>
      <c r="M170" s="110">
        <v>36</v>
      </c>
      <c r="N170" s="112">
        <f t="shared" si="31"/>
        <v>36</v>
      </c>
      <c r="O170" s="61">
        <v>527.46</v>
      </c>
      <c r="P170" s="21">
        <f t="shared" si="32"/>
        <v>18988.560000000001</v>
      </c>
      <c r="Q170" s="128">
        <f t="shared" si="33"/>
        <v>14</v>
      </c>
      <c r="R170" s="128">
        <f t="shared" si="34"/>
        <v>14</v>
      </c>
    </row>
    <row r="171" spans="1:18" ht="14.5" x14ac:dyDescent="0.3">
      <c r="A171" s="16">
        <v>156</v>
      </c>
      <c r="B171" s="17">
        <v>6</v>
      </c>
      <c r="C171" s="18" t="s">
        <v>270</v>
      </c>
      <c r="D171" s="19" t="s">
        <v>271</v>
      </c>
      <c r="E171" s="20" t="s">
        <v>10</v>
      </c>
      <c r="F171" s="20">
        <v>3</v>
      </c>
      <c r="G171" s="110">
        <v>2</v>
      </c>
      <c r="H171" s="111">
        <v>2</v>
      </c>
      <c r="I171" s="110">
        <v>0.5</v>
      </c>
      <c r="J171" s="112">
        <f t="shared" si="28"/>
        <v>0.5</v>
      </c>
      <c r="K171" s="113">
        <f t="shared" si="29"/>
        <v>8</v>
      </c>
      <c r="L171" s="113">
        <f t="shared" si="30"/>
        <v>8</v>
      </c>
      <c r="M171" s="110">
        <v>5</v>
      </c>
      <c r="N171" s="112">
        <f t="shared" si="31"/>
        <v>5</v>
      </c>
      <c r="O171" s="61">
        <v>1033.96</v>
      </c>
      <c r="P171" s="21">
        <f t="shared" si="32"/>
        <v>5169.8</v>
      </c>
      <c r="Q171" s="128">
        <f t="shared" si="33"/>
        <v>3</v>
      </c>
      <c r="R171" s="128">
        <f t="shared" si="34"/>
        <v>3</v>
      </c>
    </row>
    <row r="172" spans="1:18" ht="26" x14ac:dyDescent="0.3">
      <c r="A172" s="16">
        <v>157</v>
      </c>
      <c r="B172" s="63">
        <v>6</v>
      </c>
      <c r="C172" s="64" t="s">
        <v>272</v>
      </c>
      <c r="D172" s="64" t="s">
        <v>273</v>
      </c>
      <c r="E172" s="65" t="s">
        <v>6</v>
      </c>
      <c r="F172" s="65">
        <v>4</v>
      </c>
      <c r="G172" s="110">
        <v>55</v>
      </c>
      <c r="H172" s="111">
        <v>55</v>
      </c>
      <c r="I172" s="110">
        <v>16</v>
      </c>
      <c r="J172" s="112">
        <f t="shared" si="28"/>
        <v>16</v>
      </c>
      <c r="K172" s="113">
        <f t="shared" si="29"/>
        <v>247</v>
      </c>
      <c r="L172" s="113">
        <f t="shared" si="30"/>
        <v>247</v>
      </c>
      <c r="M172" s="110">
        <v>192</v>
      </c>
      <c r="N172" s="112">
        <f t="shared" si="31"/>
        <v>192</v>
      </c>
      <c r="O172" s="61">
        <v>17.7</v>
      </c>
      <c r="P172" s="21">
        <f t="shared" si="32"/>
        <v>3398.3999999999996</v>
      </c>
      <c r="Q172" s="128">
        <f t="shared" si="33"/>
        <v>55</v>
      </c>
      <c r="R172" s="128">
        <f t="shared" si="34"/>
        <v>55</v>
      </c>
    </row>
    <row r="173" spans="1:18" ht="14.5" x14ac:dyDescent="0.3">
      <c r="A173" s="16">
        <v>158</v>
      </c>
      <c r="B173" s="63">
        <v>6</v>
      </c>
      <c r="C173" s="64" t="s">
        <v>274</v>
      </c>
      <c r="D173" s="64" t="s">
        <v>275</v>
      </c>
      <c r="E173" s="65" t="s">
        <v>6</v>
      </c>
      <c r="F173" s="65">
        <v>4</v>
      </c>
      <c r="G173" s="110">
        <v>77</v>
      </c>
      <c r="H173" s="111">
        <v>77</v>
      </c>
      <c r="I173" s="110">
        <v>30</v>
      </c>
      <c r="J173" s="112">
        <f t="shared" si="28"/>
        <v>30</v>
      </c>
      <c r="K173" s="113">
        <f t="shared" si="29"/>
        <v>437</v>
      </c>
      <c r="L173" s="113">
        <f t="shared" si="30"/>
        <v>437</v>
      </c>
      <c r="M173" s="110">
        <v>360</v>
      </c>
      <c r="N173" s="112">
        <f t="shared" si="31"/>
        <v>360</v>
      </c>
      <c r="O173" s="61">
        <v>16.8</v>
      </c>
      <c r="P173" s="21">
        <f t="shared" si="32"/>
        <v>6048</v>
      </c>
      <c r="Q173" s="128">
        <f t="shared" si="33"/>
        <v>77</v>
      </c>
      <c r="R173" s="128">
        <f t="shared" si="34"/>
        <v>77</v>
      </c>
    </row>
    <row r="174" spans="1:18" ht="14.5" x14ac:dyDescent="0.3">
      <c r="A174" s="16">
        <v>159</v>
      </c>
      <c r="B174" s="17">
        <v>6</v>
      </c>
      <c r="C174" s="22" t="s">
        <v>276</v>
      </c>
      <c r="D174" s="29" t="s">
        <v>277</v>
      </c>
      <c r="E174" s="24" t="s">
        <v>10</v>
      </c>
      <c r="F174" s="24">
        <v>3</v>
      </c>
      <c r="G174" s="110">
        <v>1</v>
      </c>
      <c r="H174" s="111">
        <v>1</v>
      </c>
      <c r="I174" s="110">
        <v>2</v>
      </c>
      <c r="J174" s="112">
        <f t="shared" si="28"/>
        <v>2</v>
      </c>
      <c r="K174" s="113">
        <f t="shared" si="29"/>
        <v>25</v>
      </c>
      <c r="L174" s="113">
        <f t="shared" si="30"/>
        <v>25</v>
      </c>
      <c r="M174" s="110">
        <v>24</v>
      </c>
      <c r="N174" s="112">
        <f t="shared" si="31"/>
        <v>24</v>
      </c>
      <c r="O174" s="61">
        <v>420</v>
      </c>
      <c r="P174" s="21">
        <f t="shared" si="32"/>
        <v>10080</v>
      </c>
      <c r="Q174" s="128">
        <f t="shared" si="33"/>
        <v>1</v>
      </c>
      <c r="R174" s="128">
        <f t="shared" si="34"/>
        <v>1</v>
      </c>
    </row>
    <row r="175" spans="1:18" ht="14.5" x14ac:dyDescent="0.3">
      <c r="A175" s="16">
        <v>160</v>
      </c>
      <c r="B175" s="17">
        <v>6</v>
      </c>
      <c r="C175" s="22" t="s">
        <v>278</v>
      </c>
      <c r="D175" s="29" t="s">
        <v>279</v>
      </c>
      <c r="E175" s="24" t="s">
        <v>6</v>
      </c>
      <c r="F175" s="24">
        <v>4</v>
      </c>
      <c r="G175" s="110">
        <v>18</v>
      </c>
      <c r="H175" s="111">
        <v>18</v>
      </c>
      <c r="I175" s="110">
        <v>6</v>
      </c>
      <c r="J175" s="112">
        <f t="shared" si="28"/>
        <v>6</v>
      </c>
      <c r="K175" s="113">
        <f t="shared" si="29"/>
        <v>90</v>
      </c>
      <c r="L175" s="113">
        <f t="shared" si="30"/>
        <v>90</v>
      </c>
      <c r="M175" s="110">
        <v>72</v>
      </c>
      <c r="N175" s="112">
        <f t="shared" si="31"/>
        <v>72</v>
      </c>
      <c r="O175" s="61">
        <v>58.02</v>
      </c>
      <c r="P175" s="21">
        <f t="shared" si="32"/>
        <v>4177.4400000000005</v>
      </c>
      <c r="Q175" s="128">
        <f t="shared" si="33"/>
        <v>18</v>
      </c>
      <c r="R175" s="128">
        <f t="shared" si="34"/>
        <v>18</v>
      </c>
    </row>
    <row r="176" spans="1:18" ht="14.5" x14ac:dyDescent="0.3">
      <c r="A176" s="16">
        <v>161</v>
      </c>
      <c r="B176" s="17">
        <v>6</v>
      </c>
      <c r="C176" s="22" t="s">
        <v>280</v>
      </c>
      <c r="D176" s="29" t="s">
        <v>281</v>
      </c>
      <c r="E176" s="24" t="s">
        <v>6</v>
      </c>
      <c r="F176" s="24">
        <v>4</v>
      </c>
      <c r="G176" s="110">
        <v>29</v>
      </c>
      <c r="H176" s="111">
        <v>29</v>
      </c>
      <c r="I176" s="110">
        <v>11</v>
      </c>
      <c r="J176" s="112">
        <f t="shared" si="28"/>
        <v>11</v>
      </c>
      <c r="K176" s="113">
        <f t="shared" si="29"/>
        <v>161</v>
      </c>
      <c r="L176" s="113">
        <f t="shared" si="30"/>
        <v>161</v>
      </c>
      <c r="M176" s="110">
        <v>132</v>
      </c>
      <c r="N176" s="112">
        <f t="shared" si="31"/>
        <v>132</v>
      </c>
      <c r="O176" s="61">
        <v>155.12</v>
      </c>
      <c r="P176" s="21">
        <f t="shared" si="32"/>
        <v>20475.84</v>
      </c>
      <c r="Q176" s="128">
        <f t="shared" si="33"/>
        <v>29</v>
      </c>
      <c r="R176" s="128">
        <f t="shared" si="34"/>
        <v>29</v>
      </c>
    </row>
    <row r="177" spans="1:18" ht="14.5" x14ac:dyDescent="0.3">
      <c r="A177" s="16">
        <v>162</v>
      </c>
      <c r="B177" s="17">
        <v>6</v>
      </c>
      <c r="C177" s="22" t="s">
        <v>282</v>
      </c>
      <c r="D177" s="29" t="s">
        <v>283</v>
      </c>
      <c r="E177" s="24" t="s">
        <v>6</v>
      </c>
      <c r="F177" s="24">
        <v>4</v>
      </c>
      <c r="G177" s="110">
        <v>2</v>
      </c>
      <c r="H177" s="111">
        <v>2</v>
      </c>
      <c r="I177" s="110">
        <v>1</v>
      </c>
      <c r="J177" s="112">
        <f t="shared" si="28"/>
        <v>1</v>
      </c>
      <c r="K177" s="113">
        <f t="shared" si="29"/>
        <v>14</v>
      </c>
      <c r="L177" s="113">
        <f t="shared" si="30"/>
        <v>14</v>
      </c>
      <c r="M177" s="110">
        <v>12</v>
      </c>
      <c r="N177" s="112">
        <f t="shared" si="31"/>
        <v>12</v>
      </c>
      <c r="O177" s="61">
        <v>56</v>
      </c>
      <c r="P177" s="21">
        <f t="shared" si="32"/>
        <v>672</v>
      </c>
      <c r="Q177" s="128">
        <f t="shared" si="33"/>
        <v>2</v>
      </c>
      <c r="R177" s="128">
        <f t="shared" si="34"/>
        <v>2</v>
      </c>
    </row>
    <row r="178" spans="1:18" ht="14.5" x14ac:dyDescent="0.3">
      <c r="A178" s="16">
        <v>163</v>
      </c>
      <c r="B178" s="17">
        <v>6</v>
      </c>
      <c r="C178" s="22" t="s">
        <v>284</v>
      </c>
      <c r="D178" s="29" t="s">
        <v>285</v>
      </c>
      <c r="E178" s="24" t="s">
        <v>6</v>
      </c>
      <c r="F178" s="24">
        <v>4</v>
      </c>
      <c r="G178" s="110">
        <v>57</v>
      </c>
      <c r="H178" s="111">
        <v>57</v>
      </c>
      <c r="I178" s="110">
        <v>16</v>
      </c>
      <c r="J178" s="112">
        <f t="shared" si="28"/>
        <v>16</v>
      </c>
      <c r="K178" s="113">
        <f t="shared" si="29"/>
        <v>249</v>
      </c>
      <c r="L178" s="113">
        <f t="shared" si="30"/>
        <v>249</v>
      </c>
      <c r="M178" s="110">
        <v>192</v>
      </c>
      <c r="N178" s="112">
        <f t="shared" si="31"/>
        <v>192</v>
      </c>
      <c r="O178" s="61">
        <v>86.24</v>
      </c>
      <c r="P178" s="21">
        <f t="shared" si="32"/>
        <v>16558.079999999998</v>
      </c>
      <c r="Q178" s="128">
        <f t="shared" si="33"/>
        <v>57</v>
      </c>
      <c r="R178" s="128">
        <f t="shared" si="34"/>
        <v>57</v>
      </c>
    </row>
    <row r="179" spans="1:18" ht="14.5" x14ac:dyDescent="0.3">
      <c r="A179" s="16">
        <v>164</v>
      </c>
      <c r="B179" s="17">
        <v>6</v>
      </c>
      <c r="C179" s="22" t="s">
        <v>286</v>
      </c>
      <c r="D179" s="29" t="s">
        <v>287</v>
      </c>
      <c r="E179" s="24" t="s">
        <v>6</v>
      </c>
      <c r="F179" s="24">
        <v>4</v>
      </c>
      <c r="G179" s="110">
        <v>16</v>
      </c>
      <c r="H179" s="111">
        <v>16</v>
      </c>
      <c r="I179" s="110">
        <v>1</v>
      </c>
      <c r="J179" s="112">
        <f t="shared" si="28"/>
        <v>1</v>
      </c>
      <c r="K179" s="113">
        <f t="shared" si="29"/>
        <v>28</v>
      </c>
      <c r="L179" s="113">
        <f t="shared" si="30"/>
        <v>28</v>
      </c>
      <c r="M179" s="110">
        <v>12</v>
      </c>
      <c r="N179" s="112">
        <f t="shared" si="31"/>
        <v>12</v>
      </c>
      <c r="O179" s="61">
        <v>173.04</v>
      </c>
      <c r="P179" s="21">
        <f t="shared" si="32"/>
        <v>2076.48</v>
      </c>
      <c r="Q179" s="128">
        <f t="shared" si="33"/>
        <v>16</v>
      </c>
      <c r="R179" s="128">
        <f t="shared" si="34"/>
        <v>16</v>
      </c>
    </row>
    <row r="180" spans="1:18" ht="14.5" x14ac:dyDescent="0.3">
      <c r="A180" s="16">
        <v>165</v>
      </c>
      <c r="B180" s="17">
        <v>6</v>
      </c>
      <c r="C180" s="22">
        <v>164</v>
      </c>
      <c r="D180" s="29" t="s">
        <v>288</v>
      </c>
      <c r="E180" s="24" t="s">
        <v>6</v>
      </c>
      <c r="F180" s="24">
        <v>4</v>
      </c>
      <c r="G180" s="110">
        <v>0</v>
      </c>
      <c r="H180" s="111">
        <v>0</v>
      </c>
      <c r="I180" s="110">
        <f>I208</f>
        <v>3</v>
      </c>
      <c r="J180" s="112">
        <f t="shared" si="28"/>
        <v>3</v>
      </c>
      <c r="K180" s="113">
        <f t="shared" si="29"/>
        <v>36</v>
      </c>
      <c r="L180" s="113">
        <f t="shared" si="30"/>
        <v>36</v>
      </c>
      <c r="M180" s="110">
        <v>33</v>
      </c>
      <c r="N180" s="112">
        <f t="shared" si="31"/>
        <v>33</v>
      </c>
      <c r="O180" s="61">
        <v>2900</v>
      </c>
      <c r="P180" s="21">
        <f>O180*N180</f>
        <v>95700</v>
      </c>
      <c r="Q180" s="128">
        <f t="shared" si="33"/>
        <v>3</v>
      </c>
      <c r="R180" s="128">
        <f t="shared" si="34"/>
        <v>3</v>
      </c>
    </row>
    <row r="181" spans="1:18" s="15" customFormat="1" ht="15" customHeight="1" x14ac:dyDescent="0.3">
      <c r="A181" s="254" t="s">
        <v>289</v>
      </c>
      <c r="B181" s="254"/>
      <c r="C181" s="254"/>
      <c r="D181" s="254"/>
      <c r="E181" s="254"/>
      <c r="F181" s="254"/>
      <c r="G181" s="12">
        <f>SUM(G182:G225)</f>
        <v>970</v>
      </c>
      <c r="H181" s="12">
        <f t="shared" ref="H181:R181" si="49">SUM(H182:H225)</f>
        <v>992</v>
      </c>
      <c r="I181" s="12">
        <f t="shared" si="49"/>
        <v>244.5</v>
      </c>
      <c r="J181" s="12">
        <f t="shared" si="49"/>
        <v>254.5</v>
      </c>
      <c r="K181" s="12">
        <f t="shared" si="49"/>
        <v>3904</v>
      </c>
      <c r="L181" s="12">
        <f t="shared" si="49"/>
        <v>4046</v>
      </c>
      <c r="M181" s="12">
        <f t="shared" si="49"/>
        <v>3002</v>
      </c>
      <c r="N181" s="12">
        <f t="shared" ref="N181" si="50">SUM(N182:N225)</f>
        <v>3122</v>
      </c>
      <c r="O181" s="1" t="s">
        <v>426</v>
      </c>
      <c r="P181" s="14">
        <f t="shared" si="49"/>
        <v>1831346.7600000002</v>
      </c>
      <c r="Q181" s="12">
        <f>SUM(Q182:Q225)</f>
        <v>902</v>
      </c>
      <c r="R181" s="12">
        <f t="shared" si="49"/>
        <v>924</v>
      </c>
    </row>
    <row r="182" spans="1:18" ht="14.5" x14ac:dyDescent="0.3">
      <c r="A182" s="16">
        <v>166</v>
      </c>
      <c r="B182" s="17">
        <v>7</v>
      </c>
      <c r="C182" s="18" t="s">
        <v>290</v>
      </c>
      <c r="D182" s="19" t="s">
        <v>291</v>
      </c>
      <c r="E182" s="20" t="s">
        <v>10</v>
      </c>
      <c r="F182" s="20">
        <v>2</v>
      </c>
      <c r="G182" s="110">
        <v>0</v>
      </c>
      <c r="H182" s="111">
        <v>0</v>
      </c>
      <c r="I182" s="108">
        <v>0.25</v>
      </c>
      <c r="J182" s="109">
        <f t="shared" si="28"/>
        <v>0.25</v>
      </c>
      <c r="K182" s="113">
        <f t="shared" si="29"/>
        <v>3</v>
      </c>
      <c r="L182" s="113">
        <f t="shared" si="30"/>
        <v>3</v>
      </c>
      <c r="M182" s="110">
        <v>3</v>
      </c>
      <c r="N182" s="112">
        <f t="shared" si="31"/>
        <v>3</v>
      </c>
      <c r="O182" s="61">
        <v>3.96</v>
      </c>
      <c r="P182" s="21">
        <f t="shared" si="32"/>
        <v>11.879999999999999</v>
      </c>
      <c r="Q182" s="128">
        <f t="shared" si="33"/>
        <v>0</v>
      </c>
      <c r="R182" s="128">
        <f t="shared" si="34"/>
        <v>0</v>
      </c>
    </row>
    <row r="183" spans="1:18" ht="14.5" x14ac:dyDescent="0.3">
      <c r="A183" s="16">
        <v>167</v>
      </c>
      <c r="B183" s="17">
        <v>7</v>
      </c>
      <c r="C183" s="18" t="s">
        <v>292</v>
      </c>
      <c r="D183" s="19" t="s">
        <v>293</v>
      </c>
      <c r="E183" s="20" t="s">
        <v>10</v>
      </c>
      <c r="F183" s="20">
        <v>2</v>
      </c>
      <c r="G183" s="110">
        <v>0</v>
      </c>
      <c r="H183" s="111">
        <v>0</v>
      </c>
      <c r="I183" s="108">
        <v>0.25</v>
      </c>
      <c r="J183" s="109">
        <f t="shared" si="28"/>
        <v>0.25</v>
      </c>
      <c r="K183" s="113">
        <f t="shared" si="29"/>
        <v>3</v>
      </c>
      <c r="L183" s="113">
        <f t="shared" si="30"/>
        <v>3</v>
      </c>
      <c r="M183" s="110">
        <v>2</v>
      </c>
      <c r="N183" s="112">
        <f t="shared" si="31"/>
        <v>2</v>
      </c>
      <c r="O183" s="61">
        <v>12.76</v>
      </c>
      <c r="P183" s="21">
        <f t="shared" si="32"/>
        <v>25.52</v>
      </c>
      <c r="Q183" s="128">
        <f t="shared" si="33"/>
        <v>1</v>
      </c>
      <c r="R183" s="128">
        <f t="shared" si="34"/>
        <v>1</v>
      </c>
    </row>
    <row r="184" spans="1:18" ht="14.5" x14ac:dyDescent="0.3">
      <c r="A184" s="62">
        <v>168</v>
      </c>
      <c r="B184" s="63">
        <v>7</v>
      </c>
      <c r="C184" s="64" t="s">
        <v>294</v>
      </c>
      <c r="D184" s="64" t="s">
        <v>295</v>
      </c>
      <c r="E184" s="65" t="s">
        <v>6</v>
      </c>
      <c r="F184" s="65">
        <v>2</v>
      </c>
      <c r="G184" s="110">
        <v>22</v>
      </c>
      <c r="H184" s="111">
        <v>44</v>
      </c>
      <c r="I184" s="110">
        <v>10</v>
      </c>
      <c r="J184" s="112">
        <f t="shared" si="28"/>
        <v>20</v>
      </c>
      <c r="K184" s="113">
        <f t="shared" si="29"/>
        <v>142</v>
      </c>
      <c r="L184" s="113">
        <f t="shared" si="30"/>
        <v>284</v>
      </c>
      <c r="M184" s="110">
        <v>120</v>
      </c>
      <c r="N184" s="112">
        <f t="shared" si="31"/>
        <v>240</v>
      </c>
      <c r="O184" s="61">
        <v>21.22</v>
      </c>
      <c r="P184" s="21">
        <f t="shared" si="32"/>
        <v>5092.7999999999993</v>
      </c>
      <c r="Q184" s="128">
        <f t="shared" si="33"/>
        <v>22</v>
      </c>
      <c r="R184" s="128">
        <f t="shared" si="34"/>
        <v>44</v>
      </c>
    </row>
    <row r="185" spans="1:18" ht="14.5" x14ac:dyDescent="0.3">
      <c r="A185" s="16">
        <v>169</v>
      </c>
      <c r="B185" s="63">
        <v>7</v>
      </c>
      <c r="C185" s="64" t="s">
        <v>296</v>
      </c>
      <c r="D185" s="64" t="s">
        <v>297</v>
      </c>
      <c r="E185" s="65" t="s">
        <v>6</v>
      </c>
      <c r="F185" s="65">
        <v>3</v>
      </c>
      <c r="G185" s="110">
        <v>40</v>
      </c>
      <c r="H185" s="111">
        <v>40</v>
      </c>
      <c r="I185" s="110">
        <v>18</v>
      </c>
      <c r="J185" s="112">
        <f t="shared" si="28"/>
        <v>18</v>
      </c>
      <c r="K185" s="113">
        <f t="shared" si="29"/>
        <v>256</v>
      </c>
      <c r="L185" s="113">
        <f t="shared" si="30"/>
        <v>256</v>
      </c>
      <c r="M185" s="110">
        <v>216</v>
      </c>
      <c r="N185" s="112">
        <f t="shared" si="31"/>
        <v>216</v>
      </c>
      <c r="O185" s="61">
        <v>26.77</v>
      </c>
      <c r="P185" s="21">
        <f t="shared" si="32"/>
        <v>5782.32</v>
      </c>
      <c r="Q185" s="128">
        <f t="shared" si="33"/>
        <v>40</v>
      </c>
      <c r="R185" s="128">
        <f t="shared" si="34"/>
        <v>40</v>
      </c>
    </row>
    <row r="186" spans="1:18" ht="14.5" x14ac:dyDescent="0.3">
      <c r="A186" s="16">
        <v>170</v>
      </c>
      <c r="B186" s="16">
        <v>7</v>
      </c>
      <c r="C186" s="22" t="s">
        <v>298</v>
      </c>
      <c r="D186" s="29" t="s">
        <v>299</v>
      </c>
      <c r="E186" s="24" t="s">
        <v>6</v>
      </c>
      <c r="F186" s="24">
        <v>3</v>
      </c>
      <c r="G186" s="110">
        <v>4</v>
      </c>
      <c r="H186" s="111">
        <v>4</v>
      </c>
      <c r="I186" s="110">
        <v>1</v>
      </c>
      <c r="J186" s="112">
        <f t="shared" si="28"/>
        <v>1</v>
      </c>
      <c r="K186" s="113">
        <f t="shared" si="29"/>
        <v>16</v>
      </c>
      <c r="L186" s="113">
        <f t="shared" si="30"/>
        <v>16</v>
      </c>
      <c r="M186" s="110">
        <v>12</v>
      </c>
      <c r="N186" s="112">
        <f t="shared" si="31"/>
        <v>12</v>
      </c>
      <c r="O186" s="61">
        <v>33.6</v>
      </c>
      <c r="P186" s="21">
        <f t="shared" si="32"/>
        <v>403.20000000000005</v>
      </c>
      <c r="Q186" s="128">
        <f t="shared" si="33"/>
        <v>4</v>
      </c>
      <c r="R186" s="128">
        <f t="shared" si="34"/>
        <v>4</v>
      </c>
    </row>
    <row r="187" spans="1:18" ht="14.5" x14ac:dyDescent="0.3">
      <c r="A187" s="62">
        <v>171</v>
      </c>
      <c r="B187" s="17">
        <v>7</v>
      </c>
      <c r="C187" s="18" t="s">
        <v>300</v>
      </c>
      <c r="D187" s="19" t="s">
        <v>301</v>
      </c>
      <c r="E187" s="20" t="s">
        <v>10</v>
      </c>
      <c r="F187" s="20">
        <v>3</v>
      </c>
      <c r="G187" s="110">
        <v>1</v>
      </c>
      <c r="H187" s="111">
        <v>1</v>
      </c>
      <c r="I187" s="110">
        <v>1.25</v>
      </c>
      <c r="J187" s="112">
        <f t="shared" si="28"/>
        <v>1.25</v>
      </c>
      <c r="K187" s="113">
        <f t="shared" si="29"/>
        <v>16</v>
      </c>
      <c r="L187" s="113">
        <f t="shared" si="30"/>
        <v>16</v>
      </c>
      <c r="M187" s="110">
        <v>15</v>
      </c>
      <c r="N187" s="112">
        <f t="shared" si="31"/>
        <v>15</v>
      </c>
      <c r="O187" s="61">
        <v>48.16</v>
      </c>
      <c r="P187" s="21">
        <f t="shared" si="32"/>
        <v>722.4</v>
      </c>
      <c r="Q187" s="128">
        <f t="shared" si="33"/>
        <v>1</v>
      </c>
      <c r="R187" s="128">
        <f t="shared" si="34"/>
        <v>1</v>
      </c>
    </row>
    <row r="188" spans="1:18" ht="14.5" x14ac:dyDescent="0.3">
      <c r="A188" s="16">
        <v>172</v>
      </c>
      <c r="B188" s="17">
        <v>7</v>
      </c>
      <c r="C188" s="18" t="s">
        <v>302</v>
      </c>
      <c r="D188" s="19" t="s">
        <v>303</v>
      </c>
      <c r="E188" s="20" t="s">
        <v>10</v>
      </c>
      <c r="F188" s="20">
        <v>2</v>
      </c>
      <c r="G188" s="110">
        <v>0</v>
      </c>
      <c r="H188" s="111">
        <v>0</v>
      </c>
      <c r="I188" s="108">
        <v>0.25</v>
      </c>
      <c r="J188" s="109">
        <f t="shared" si="28"/>
        <v>0.25</v>
      </c>
      <c r="K188" s="113">
        <f t="shared" si="29"/>
        <v>3</v>
      </c>
      <c r="L188" s="113">
        <f t="shared" si="30"/>
        <v>3</v>
      </c>
      <c r="M188" s="110">
        <v>3</v>
      </c>
      <c r="N188" s="112">
        <f t="shared" si="31"/>
        <v>3</v>
      </c>
      <c r="O188" s="61">
        <v>189.2</v>
      </c>
      <c r="P188" s="21">
        <f t="shared" si="32"/>
        <v>567.59999999999991</v>
      </c>
      <c r="Q188" s="128">
        <f t="shared" si="33"/>
        <v>0</v>
      </c>
      <c r="R188" s="128">
        <f t="shared" si="34"/>
        <v>0</v>
      </c>
    </row>
    <row r="189" spans="1:18" ht="14.5" x14ac:dyDescent="0.3">
      <c r="A189" s="16">
        <v>173</v>
      </c>
      <c r="B189" s="63">
        <v>7</v>
      </c>
      <c r="C189" s="64" t="s">
        <v>304</v>
      </c>
      <c r="D189" s="64" t="s">
        <v>305</v>
      </c>
      <c r="E189" s="65" t="s">
        <v>10</v>
      </c>
      <c r="F189" s="65">
        <v>3</v>
      </c>
      <c r="G189" s="110">
        <v>10</v>
      </c>
      <c r="H189" s="111">
        <v>10</v>
      </c>
      <c r="I189" s="110">
        <v>2</v>
      </c>
      <c r="J189" s="112">
        <f t="shared" si="28"/>
        <v>2</v>
      </c>
      <c r="K189" s="113">
        <f t="shared" si="29"/>
        <v>34</v>
      </c>
      <c r="L189" s="113">
        <f t="shared" si="30"/>
        <v>34</v>
      </c>
      <c r="M189" s="110">
        <v>24</v>
      </c>
      <c r="N189" s="112">
        <f t="shared" si="31"/>
        <v>24</v>
      </c>
      <c r="O189" s="61">
        <v>46.48</v>
      </c>
      <c r="P189" s="21">
        <f t="shared" si="32"/>
        <v>1115.52</v>
      </c>
      <c r="Q189" s="128">
        <f t="shared" si="33"/>
        <v>10</v>
      </c>
      <c r="R189" s="128">
        <f t="shared" si="34"/>
        <v>10</v>
      </c>
    </row>
    <row r="190" spans="1:18" ht="14.5" x14ac:dyDescent="0.3">
      <c r="A190" s="62">
        <v>174</v>
      </c>
      <c r="B190" s="63">
        <v>7</v>
      </c>
      <c r="C190" s="64" t="s">
        <v>306</v>
      </c>
      <c r="D190" s="64" t="s">
        <v>307</v>
      </c>
      <c r="E190" s="65" t="s">
        <v>10</v>
      </c>
      <c r="F190" s="65">
        <v>3</v>
      </c>
      <c r="G190" s="110">
        <v>8</v>
      </c>
      <c r="H190" s="111">
        <v>8</v>
      </c>
      <c r="I190" s="110">
        <v>3</v>
      </c>
      <c r="J190" s="112">
        <f t="shared" si="28"/>
        <v>3</v>
      </c>
      <c r="K190" s="113">
        <f t="shared" si="29"/>
        <v>44</v>
      </c>
      <c r="L190" s="113">
        <f t="shared" si="30"/>
        <v>44</v>
      </c>
      <c r="M190" s="110">
        <v>36</v>
      </c>
      <c r="N190" s="112">
        <f t="shared" si="31"/>
        <v>36</v>
      </c>
      <c r="O190" s="61">
        <v>51.52</v>
      </c>
      <c r="P190" s="21">
        <f t="shared" si="32"/>
        <v>1854.72</v>
      </c>
      <c r="Q190" s="128">
        <f t="shared" si="33"/>
        <v>8</v>
      </c>
      <c r="R190" s="128">
        <f t="shared" si="34"/>
        <v>8</v>
      </c>
    </row>
    <row r="191" spans="1:18" ht="14.5" x14ac:dyDescent="0.3">
      <c r="A191" s="16">
        <v>175</v>
      </c>
      <c r="B191" s="16">
        <v>7</v>
      </c>
      <c r="C191" s="22" t="s">
        <v>308</v>
      </c>
      <c r="D191" s="29" t="s">
        <v>309</v>
      </c>
      <c r="E191" s="24" t="s">
        <v>10</v>
      </c>
      <c r="F191" s="24">
        <v>3</v>
      </c>
      <c r="G191" s="110">
        <v>79</v>
      </c>
      <c r="H191" s="111">
        <v>79</v>
      </c>
      <c r="I191" s="110">
        <v>31</v>
      </c>
      <c r="J191" s="112">
        <f t="shared" si="28"/>
        <v>31</v>
      </c>
      <c r="K191" s="113">
        <f t="shared" si="29"/>
        <v>451</v>
      </c>
      <c r="L191" s="113">
        <f t="shared" si="30"/>
        <v>451</v>
      </c>
      <c r="M191" s="110">
        <v>372</v>
      </c>
      <c r="N191" s="112">
        <f t="shared" si="31"/>
        <v>372</v>
      </c>
      <c r="O191" s="61">
        <v>54.82</v>
      </c>
      <c r="P191" s="21">
        <f t="shared" si="32"/>
        <v>20393.04</v>
      </c>
      <c r="Q191" s="128">
        <f t="shared" si="33"/>
        <v>79</v>
      </c>
      <c r="R191" s="128">
        <f t="shared" si="34"/>
        <v>79</v>
      </c>
    </row>
    <row r="192" spans="1:18" ht="14.5" x14ac:dyDescent="0.3">
      <c r="A192" s="16">
        <v>176</v>
      </c>
      <c r="B192" s="17">
        <v>7</v>
      </c>
      <c r="C192" s="18" t="s">
        <v>310</v>
      </c>
      <c r="D192" s="19" t="s">
        <v>311</v>
      </c>
      <c r="E192" s="20" t="s">
        <v>10</v>
      </c>
      <c r="F192" s="20">
        <v>3</v>
      </c>
      <c r="G192" s="110">
        <v>8</v>
      </c>
      <c r="H192" s="111">
        <v>8</v>
      </c>
      <c r="I192" s="110">
        <v>2</v>
      </c>
      <c r="J192" s="112">
        <f t="shared" si="28"/>
        <v>2</v>
      </c>
      <c r="K192" s="113">
        <f t="shared" si="29"/>
        <v>32</v>
      </c>
      <c r="L192" s="113">
        <f t="shared" si="30"/>
        <v>32</v>
      </c>
      <c r="M192" s="110">
        <v>24</v>
      </c>
      <c r="N192" s="112">
        <f t="shared" si="31"/>
        <v>24</v>
      </c>
      <c r="O192" s="61">
        <v>80.64</v>
      </c>
      <c r="P192" s="21">
        <f t="shared" si="32"/>
        <v>1935.3600000000001</v>
      </c>
      <c r="Q192" s="128">
        <f t="shared" si="33"/>
        <v>8</v>
      </c>
      <c r="R192" s="128">
        <f t="shared" si="34"/>
        <v>8</v>
      </c>
    </row>
    <row r="193" spans="1:18" ht="14.5" x14ac:dyDescent="0.3">
      <c r="A193" s="62">
        <v>177</v>
      </c>
      <c r="B193" s="17">
        <v>7</v>
      </c>
      <c r="C193" s="18" t="s">
        <v>312</v>
      </c>
      <c r="D193" s="19" t="s">
        <v>313</v>
      </c>
      <c r="E193" s="20" t="s">
        <v>10</v>
      </c>
      <c r="F193" s="20">
        <v>2</v>
      </c>
      <c r="G193" s="110">
        <v>0</v>
      </c>
      <c r="H193" s="111">
        <v>0</v>
      </c>
      <c r="I193" s="108">
        <v>0.25</v>
      </c>
      <c r="J193" s="109">
        <f t="shared" si="28"/>
        <v>0.25</v>
      </c>
      <c r="K193" s="113">
        <f t="shared" si="29"/>
        <v>3</v>
      </c>
      <c r="L193" s="113">
        <f t="shared" si="30"/>
        <v>3</v>
      </c>
      <c r="M193" s="110">
        <v>3</v>
      </c>
      <c r="N193" s="112">
        <f t="shared" si="31"/>
        <v>3</v>
      </c>
      <c r="O193" s="61">
        <v>168</v>
      </c>
      <c r="P193" s="21">
        <f t="shared" si="32"/>
        <v>504</v>
      </c>
      <c r="Q193" s="128">
        <f t="shared" si="33"/>
        <v>0</v>
      </c>
      <c r="R193" s="128">
        <f t="shared" si="34"/>
        <v>0</v>
      </c>
    </row>
    <row r="194" spans="1:18" ht="28.75" customHeight="1" x14ac:dyDescent="0.3">
      <c r="A194" s="16">
        <v>178</v>
      </c>
      <c r="B194" s="63">
        <v>7</v>
      </c>
      <c r="C194" s="64" t="s">
        <v>314</v>
      </c>
      <c r="D194" s="64" t="s">
        <v>315</v>
      </c>
      <c r="E194" s="65" t="s">
        <v>10</v>
      </c>
      <c r="F194" s="65">
        <v>2</v>
      </c>
      <c r="G194" s="110">
        <v>1</v>
      </c>
      <c r="H194" s="111">
        <v>1</v>
      </c>
      <c r="I194" s="110">
        <v>1</v>
      </c>
      <c r="J194" s="112">
        <f t="shared" si="28"/>
        <v>1</v>
      </c>
      <c r="K194" s="113">
        <f t="shared" si="29"/>
        <v>13</v>
      </c>
      <c r="L194" s="113">
        <f t="shared" si="30"/>
        <v>13</v>
      </c>
      <c r="M194" s="110">
        <v>12</v>
      </c>
      <c r="N194" s="112">
        <f t="shared" si="31"/>
        <v>12</v>
      </c>
      <c r="O194" s="61">
        <v>1061.76</v>
      </c>
      <c r="P194" s="21">
        <f t="shared" si="32"/>
        <v>12741.119999999999</v>
      </c>
      <c r="Q194" s="128">
        <f t="shared" si="33"/>
        <v>1</v>
      </c>
      <c r="R194" s="128">
        <f t="shared" si="34"/>
        <v>1</v>
      </c>
    </row>
    <row r="195" spans="1:18" ht="14.5" x14ac:dyDescent="0.3">
      <c r="A195" s="16">
        <v>179</v>
      </c>
      <c r="B195" s="63">
        <v>7</v>
      </c>
      <c r="C195" s="64" t="s">
        <v>316</v>
      </c>
      <c r="D195" s="64" t="s">
        <v>317</v>
      </c>
      <c r="E195" s="65" t="s">
        <v>10</v>
      </c>
      <c r="F195" s="65">
        <v>3</v>
      </c>
      <c r="G195" s="110">
        <v>21</v>
      </c>
      <c r="H195" s="111">
        <v>21</v>
      </c>
      <c r="I195" s="110">
        <v>7</v>
      </c>
      <c r="J195" s="112">
        <f t="shared" si="28"/>
        <v>7</v>
      </c>
      <c r="K195" s="113">
        <f t="shared" si="29"/>
        <v>105</v>
      </c>
      <c r="L195" s="113">
        <f t="shared" si="30"/>
        <v>105</v>
      </c>
      <c r="M195" s="110">
        <v>84</v>
      </c>
      <c r="N195" s="112">
        <f t="shared" si="31"/>
        <v>84</v>
      </c>
      <c r="O195" s="61">
        <v>67.2</v>
      </c>
      <c r="P195" s="21">
        <f t="shared" si="32"/>
        <v>5644.8</v>
      </c>
      <c r="Q195" s="128">
        <f t="shared" si="33"/>
        <v>21</v>
      </c>
      <c r="R195" s="128">
        <f t="shared" si="34"/>
        <v>21</v>
      </c>
    </row>
    <row r="196" spans="1:18" ht="14.5" x14ac:dyDescent="0.3">
      <c r="A196" s="62">
        <v>180</v>
      </c>
      <c r="B196" s="16">
        <v>7</v>
      </c>
      <c r="C196" s="22" t="s">
        <v>318</v>
      </c>
      <c r="D196" s="29" t="s">
        <v>319</v>
      </c>
      <c r="E196" s="24" t="s">
        <v>10</v>
      </c>
      <c r="F196" s="24">
        <v>2</v>
      </c>
      <c r="G196" s="110">
        <v>0</v>
      </c>
      <c r="H196" s="111">
        <v>0</v>
      </c>
      <c r="I196" s="110">
        <v>1</v>
      </c>
      <c r="J196" s="112">
        <f t="shared" si="28"/>
        <v>1</v>
      </c>
      <c r="K196" s="113">
        <f t="shared" si="29"/>
        <v>12</v>
      </c>
      <c r="L196" s="113">
        <f t="shared" si="30"/>
        <v>12</v>
      </c>
      <c r="M196" s="110">
        <v>12</v>
      </c>
      <c r="N196" s="112">
        <f t="shared" si="31"/>
        <v>12</v>
      </c>
      <c r="O196" s="61">
        <v>877.8</v>
      </c>
      <c r="P196" s="21">
        <f t="shared" si="32"/>
        <v>10533.599999999999</v>
      </c>
      <c r="Q196" s="128">
        <f t="shared" si="33"/>
        <v>0</v>
      </c>
      <c r="R196" s="128">
        <f t="shared" si="34"/>
        <v>0</v>
      </c>
    </row>
    <row r="197" spans="1:18" ht="14.5" x14ac:dyDescent="0.3">
      <c r="A197" s="16">
        <v>181</v>
      </c>
      <c r="B197" s="16">
        <v>7</v>
      </c>
      <c r="C197" s="22" t="s">
        <v>320</v>
      </c>
      <c r="D197" s="29" t="s">
        <v>321</v>
      </c>
      <c r="E197" s="24" t="s">
        <v>10</v>
      </c>
      <c r="F197" s="24">
        <v>2</v>
      </c>
      <c r="G197" s="110">
        <v>1</v>
      </c>
      <c r="H197" s="111">
        <v>1</v>
      </c>
      <c r="I197" s="110">
        <v>1</v>
      </c>
      <c r="J197" s="112">
        <f t="shared" si="28"/>
        <v>1</v>
      </c>
      <c r="K197" s="113">
        <f t="shared" si="29"/>
        <v>13</v>
      </c>
      <c r="L197" s="113">
        <f t="shared" si="30"/>
        <v>13</v>
      </c>
      <c r="M197" s="110">
        <v>12</v>
      </c>
      <c r="N197" s="112">
        <f t="shared" si="31"/>
        <v>12</v>
      </c>
      <c r="O197" s="61">
        <v>1452.64</v>
      </c>
      <c r="P197" s="21">
        <f t="shared" si="32"/>
        <v>17431.68</v>
      </c>
      <c r="Q197" s="128">
        <f t="shared" si="33"/>
        <v>1</v>
      </c>
      <c r="R197" s="128">
        <f t="shared" si="34"/>
        <v>1</v>
      </c>
    </row>
    <row r="198" spans="1:18" ht="14.5" x14ac:dyDescent="0.3">
      <c r="A198" s="16">
        <v>182</v>
      </c>
      <c r="B198" s="16">
        <v>7</v>
      </c>
      <c r="C198" s="22" t="s">
        <v>322</v>
      </c>
      <c r="D198" s="29" t="s">
        <v>323</v>
      </c>
      <c r="E198" s="24" t="s">
        <v>10</v>
      </c>
      <c r="F198" s="24">
        <v>3</v>
      </c>
      <c r="G198" s="110">
        <v>13</v>
      </c>
      <c r="H198" s="111">
        <v>13</v>
      </c>
      <c r="I198" s="110">
        <v>4</v>
      </c>
      <c r="J198" s="112">
        <f t="shared" si="28"/>
        <v>4</v>
      </c>
      <c r="K198" s="113">
        <f t="shared" si="29"/>
        <v>61</v>
      </c>
      <c r="L198" s="113">
        <f t="shared" si="30"/>
        <v>61</v>
      </c>
      <c r="M198" s="110">
        <v>48</v>
      </c>
      <c r="N198" s="112">
        <f t="shared" si="31"/>
        <v>48</v>
      </c>
      <c r="O198" s="61">
        <v>2303.84</v>
      </c>
      <c r="P198" s="21">
        <f t="shared" si="32"/>
        <v>110584.32000000001</v>
      </c>
      <c r="Q198" s="128">
        <f t="shared" si="33"/>
        <v>13</v>
      </c>
      <c r="R198" s="128">
        <f t="shared" si="34"/>
        <v>13</v>
      </c>
    </row>
    <row r="199" spans="1:18" ht="14.5" x14ac:dyDescent="0.3">
      <c r="A199" s="62">
        <v>183</v>
      </c>
      <c r="B199" s="16">
        <v>7</v>
      </c>
      <c r="C199" s="22" t="s">
        <v>324</v>
      </c>
      <c r="D199" s="29" t="s">
        <v>325</v>
      </c>
      <c r="E199" s="24" t="s">
        <v>10</v>
      </c>
      <c r="F199" s="24">
        <v>4</v>
      </c>
      <c r="G199" s="110">
        <v>10</v>
      </c>
      <c r="H199" s="111">
        <v>10</v>
      </c>
      <c r="I199" s="110">
        <v>9</v>
      </c>
      <c r="J199" s="112">
        <f t="shared" si="28"/>
        <v>9</v>
      </c>
      <c r="K199" s="113">
        <f t="shared" si="29"/>
        <v>118</v>
      </c>
      <c r="L199" s="113">
        <f t="shared" si="30"/>
        <v>118</v>
      </c>
      <c r="M199" s="110">
        <v>108</v>
      </c>
      <c r="N199" s="112">
        <f t="shared" si="31"/>
        <v>108</v>
      </c>
      <c r="O199" s="61">
        <v>593.54</v>
      </c>
      <c r="P199" s="21">
        <f t="shared" si="32"/>
        <v>64102.319999999992</v>
      </c>
      <c r="Q199" s="128">
        <f t="shared" si="33"/>
        <v>10</v>
      </c>
      <c r="R199" s="128">
        <f t="shared" si="34"/>
        <v>10</v>
      </c>
    </row>
    <row r="200" spans="1:18" ht="14.5" x14ac:dyDescent="0.3">
      <c r="A200" s="16">
        <v>184</v>
      </c>
      <c r="B200" s="17">
        <v>7</v>
      </c>
      <c r="C200" s="18" t="s">
        <v>326</v>
      </c>
      <c r="D200" s="19" t="s">
        <v>327</v>
      </c>
      <c r="E200" s="20" t="s">
        <v>10</v>
      </c>
      <c r="F200" s="20">
        <v>3</v>
      </c>
      <c r="G200" s="110">
        <v>1</v>
      </c>
      <c r="H200" s="111">
        <v>1</v>
      </c>
      <c r="I200" s="110">
        <v>0.5</v>
      </c>
      <c r="J200" s="112">
        <f t="shared" si="28"/>
        <v>0.5</v>
      </c>
      <c r="K200" s="113">
        <f t="shared" si="29"/>
        <v>7</v>
      </c>
      <c r="L200" s="113">
        <f t="shared" si="30"/>
        <v>7</v>
      </c>
      <c r="M200" s="110">
        <v>7</v>
      </c>
      <c r="N200" s="112">
        <f t="shared" si="31"/>
        <v>7</v>
      </c>
      <c r="O200" s="61">
        <v>505.12</v>
      </c>
      <c r="P200" s="21">
        <f t="shared" si="32"/>
        <v>3535.84</v>
      </c>
      <c r="Q200" s="128">
        <f t="shared" si="33"/>
        <v>0</v>
      </c>
      <c r="R200" s="128">
        <f t="shared" si="34"/>
        <v>0</v>
      </c>
    </row>
    <row r="201" spans="1:18" ht="14.5" x14ac:dyDescent="0.3">
      <c r="A201" s="16">
        <v>185</v>
      </c>
      <c r="B201" s="17">
        <v>7</v>
      </c>
      <c r="C201" s="18">
        <v>184</v>
      </c>
      <c r="D201" s="19" t="s">
        <v>328</v>
      </c>
      <c r="E201" s="20" t="s">
        <v>6</v>
      </c>
      <c r="F201" s="20">
        <v>2</v>
      </c>
      <c r="G201" s="110">
        <v>0</v>
      </c>
      <c r="H201" s="111">
        <v>0</v>
      </c>
      <c r="I201" s="110">
        <v>3</v>
      </c>
      <c r="J201" s="112">
        <f t="shared" ref="J201:J245" si="51">IF(G201=0,I201,I201*(H201/G201))</f>
        <v>3</v>
      </c>
      <c r="K201" s="113">
        <f t="shared" ref="K201:K245" si="52">G201+(I201*12)</f>
        <v>36</v>
      </c>
      <c r="L201" s="113">
        <f t="shared" ref="L201:L245" si="53">H201+(J201*12)</f>
        <v>36</v>
      </c>
      <c r="M201" s="110">
        <v>36</v>
      </c>
      <c r="N201" s="112">
        <f t="shared" ref="N201:N245" si="54">IF(G201=0,M201,M201*(H201/G201))</f>
        <v>36</v>
      </c>
      <c r="O201" s="61">
        <v>1421</v>
      </c>
      <c r="P201" s="21">
        <f t="shared" ref="P201:P245" si="55">O201*N201</f>
        <v>51156</v>
      </c>
      <c r="Q201" s="128">
        <f t="shared" ref="Q201:Q245" si="56">K201-M201</f>
        <v>0</v>
      </c>
      <c r="R201" s="128">
        <f t="shared" ref="R201:R245" si="57">L201-N201</f>
        <v>0</v>
      </c>
    </row>
    <row r="202" spans="1:18" ht="29.4" customHeight="1" x14ac:dyDescent="0.3">
      <c r="A202" s="62">
        <v>186</v>
      </c>
      <c r="B202" s="63">
        <v>7</v>
      </c>
      <c r="C202" s="64" t="s">
        <v>329</v>
      </c>
      <c r="D202" s="64" t="s">
        <v>330</v>
      </c>
      <c r="E202" s="65" t="s">
        <v>10</v>
      </c>
      <c r="F202" s="65">
        <v>3</v>
      </c>
      <c r="G202" s="110">
        <v>221</v>
      </c>
      <c r="H202" s="111">
        <v>221</v>
      </c>
      <c r="I202" s="110">
        <v>80</v>
      </c>
      <c r="J202" s="112">
        <f t="shared" si="51"/>
        <v>80</v>
      </c>
      <c r="K202" s="113">
        <f t="shared" si="52"/>
        <v>1181</v>
      </c>
      <c r="L202" s="113">
        <f t="shared" si="53"/>
        <v>1181</v>
      </c>
      <c r="M202" s="110">
        <v>960</v>
      </c>
      <c r="N202" s="112">
        <f t="shared" si="54"/>
        <v>960</v>
      </c>
      <c r="O202" s="61">
        <v>204.9</v>
      </c>
      <c r="P202" s="21">
        <f t="shared" si="55"/>
        <v>196704</v>
      </c>
      <c r="Q202" s="128">
        <f t="shared" si="56"/>
        <v>221</v>
      </c>
      <c r="R202" s="128">
        <f t="shared" si="57"/>
        <v>221</v>
      </c>
    </row>
    <row r="203" spans="1:18" ht="45" customHeight="1" x14ac:dyDescent="0.3">
      <c r="A203" s="16">
        <v>187</v>
      </c>
      <c r="B203" s="63">
        <v>7</v>
      </c>
      <c r="C203" s="64" t="s">
        <v>331</v>
      </c>
      <c r="D203" s="64" t="s">
        <v>332</v>
      </c>
      <c r="E203" s="65" t="s">
        <v>10</v>
      </c>
      <c r="F203" s="65">
        <v>3</v>
      </c>
      <c r="G203" s="110">
        <v>0</v>
      </c>
      <c r="H203" s="111">
        <v>0</v>
      </c>
      <c r="I203" s="108">
        <v>0.25</v>
      </c>
      <c r="J203" s="109">
        <f t="shared" si="51"/>
        <v>0.25</v>
      </c>
      <c r="K203" s="113">
        <f t="shared" si="52"/>
        <v>3</v>
      </c>
      <c r="L203" s="113">
        <f t="shared" si="53"/>
        <v>3</v>
      </c>
      <c r="M203" s="110">
        <v>3</v>
      </c>
      <c r="N203" s="112">
        <f t="shared" si="54"/>
        <v>3</v>
      </c>
      <c r="O203" s="61">
        <v>1422.4</v>
      </c>
      <c r="P203" s="21">
        <f t="shared" si="55"/>
        <v>4267.2000000000007</v>
      </c>
      <c r="Q203" s="128">
        <f t="shared" si="56"/>
        <v>0</v>
      </c>
      <c r="R203" s="128">
        <f t="shared" si="57"/>
        <v>0</v>
      </c>
    </row>
    <row r="204" spans="1:18" ht="58.75" customHeight="1" x14ac:dyDescent="0.3">
      <c r="A204" s="16">
        <v>188</v>
      </c>
      <c r="B204" s="16">
        <v>7</v>
      </c>
      <c r="C204" s="22" t="s">
        <v>333</v>
      </c>
      <c r="D204" s="29" t="s">
        <v>334</v>
      </c>
      <c r="E204" s="24" t="s">
        <v>10</v>
      </c>
      <c r="F204" s="24">
        <v>3</v>
      </c>
      <c r="G204" s="110">
        <f>12+6</f>
        <v>18</v>
      </c>
      <c r="H204" s="111">
        <f>12+6</f>
        <v>18</v>
      </c>
      <c r="I204" s="110">
        <v>2</v>
      </c>
      <c r="J204" s="112">
        <f t="shared" si="51"/>
        <v>2</v>
      </c>
      <c r="K204" s="113">
        <f t="shared" si="52"/>
        <v>42</v>
      </c>
      <c r="L204" s="113">
        <f t="shared" si="53"/>
        <v>42</v>
      </c>
      <c r="M204" s="110">
        <v>6</v>
      </c>
      <c r="N204" s="112">
        <f t="shared" si="54"/>
        <v>6</v>
      </c>
      <c r="O204" s="61">
        <v>1534.4</v>
      </c>
      <c r="P204" s="21">
        <f t="shared" si="55"/>
        <v>9206.4000000000015</v>
      </c>
      <c r="Q204" s="128">
        <f t="shared" si="56"/>
        <v>36</v>
      </c>
      <c r="R204" s="128">
        <f t="shared" si="57"/>
        <v>36</v>
      </c>
    </row>
    <row r="205" spans="1:18" ht="63.65" customHeight="1" x14ac:dyDescent="0.3">
      <c r="A205" s="62">
        <v>189</v>
      </c>
      <c r="B205" s="16">
        <v>7</v>
      </c>
      <c r="C205" s="22" t="s">
        <v>335</v>
      </c>
      <c r="D205" s="29" t="s">
        <v>336</v>
      </c>
      <c r="E205" s="24" t="s">
        <v>10</v>
      </c>
      <c r="F205" s="24">
        <v>4</v>
      </c>
      <c r="G205" s="110">
        <v>14</v>
      </c>
      <c r="H205" s="111">
        <v>14</v>
      </c>
      <c r="I205" s="110">
        <v>4</v>
      </c>
      <c r="J205" s="112">
        <f t="shared" si="51"/>
        <v>4</v>
      </c>
      <c r="K205" s="113">
        <f t="shared" si="52"/>
        <v>62</v>
      </c>
      <c r="L205" s="113">
        <f t="shared" si="53"/>
        <v>62</v>
      </c>
      <c r="M205" s="110">
        <v>52</v>
      </c>
      <c r="N205" s="112">
        <f t="shared" si="54"/>
        <v>52</v>
      </c>
      <c r="O205" s="61">
        <v>2172.8000000000002</v>
      </c>
      <c r="P205" s="21">
        <f t="shared" si="55"/>
        <v>112985.60000000001</v>
      </c>
      <c r="Q205" s="128">
        <f t="shared" si="56"/>
        <v>10</v>
      </c>
      <c r="R205" s="128">
        <f t="shared" si="57"/>
        <v>10</v>
      </c>
    </row>
    <row r="206" spans="1:18" ht="57" customHeight="1" x14ac:dyDescent="0.3">
      <c r="A206" s="16">
        <v>190</v>
      </c>
      <c r="B206" s="16">
        <v>7</v>
      </c>
      <c r="C206" s="22" t="s">
        <v>337</v>
      </c>
      <c r="D206" s="29" t="s">
        <v>338</v>
      </c>
      <c r="E206" s="24" t="s">
        <v>10</v>
      </c>
      <c r="F206" s="24">
        <v>4</v>
      </c>
      <c r="G206" s="110">
        <v>13</v>
      </c>
      <c r="H206" s="111">
        <v>13</v>
      </c>
      <c r="I206" s="110">
        <v>1</v>
      </c>
      <c r="J206" s="112">
        <f t="shared" si="51"/>
        <v>1</v>
      </c>
      <c r="K206" s="113">
        <f t="shared" si="52"/>
        <v>25</v>
      </c>
      <c r="L206" s="113">
        <f t="shared" si="53"/>
        <v>25</v>
      </c>
      <c r="M206" s="110">
        <v>5</v>
      </c>
      <c r="N206" s="112">
        <f t="shared" si="54"/>
        <v>5</v>
      </c>
      <c r="O206" s="61">
        <v>2115.6799999999998</v>
      </c>
      <c r="P206" s="21">
        <f t="shared" si="55"/>
        <v>10578.4</v>
      </c>
      <c r="Q206" s="128">
        <f t="shared" si="56"/>
        <v>20</v>
      </c>
      <c r="R206" s="128">
        <f t="shared" si="57"/>
        <v>20</v>
      </c>
    </row>
    <row r="207" spans="1:18" ht="52" x14ac:dyDescent="0.3">
      <c r="A207" s="16">
        <v>191</v>
      </c>
      <c r="B207" s="16">
        <v>7</v>
      </c>
      <c r="C207" s="22" t="s">
        <v>339</v>
      </c>
      <c r="D207" s="29" t="s">
        <v>340</v>
      </c>
      <c r="E207" s="24" t="s">
        <v>10</v>
      </c>
      <c r="F207" s="24">
        <v>4</v>
      </c>
      <c r="G207" s="110">
        <v>19</v>
      </c>
      <c r="H207" s="111">
        <v>19</v>
      </c>
      <c r="I207" s="110">
        <v>1</v>
      </c>
      <c r="J207" s="112">
        <f t="shared" si="51"/>
        <v>1</v>
      </c>
      <c r="K207" s="113">
        <f t="shared" si="52"/>
        <v>31</v>
      </c>
      <c r="L207" s="113">
        <f t="shared" si="53"/>
        <v>31</v>
      </c>
      <c r="M207" s="110">
        <v>6</v>
      </c>
      <c r="N207" s="112">
        <f t="shared" si="54"/>
        <v>6</v>
      </c>
      <c r="O207" s="61">
        <v>2357.6</v>
      </c>
      <c r="P207" s="21">
        <f t="shared" si="55"/>
        <v>14145.599999999999</v>
      </c>
      <c r="Q207" s="128">
        <f t="shared" si="56"/>
        <v>25</v>
      </c>
      <c r="R207" s="128">
        <f t="shared" si="57"/>
        <v>25</v>
      </c>
    </row>
    <row r="208" spans="1:18" ht="42.65" customHeight="1" x14ac:dyDescent="0.3">
      <c r="A208" s="62">
        <v>192</v>
      </c>
      <c r="B208" s="17">
        <v>7</v>
      </c>
      <c r="C208" s="18" t="s">
        <v>341</v>
      </c>
      <c r="D208" s="19" t="s">
        <v>342</v>
      </c>
      <c r="E208" s="20" t="s">
        <v>10</v>
      </c>
      <c r="F208" s="20">
        <v>4</v>
      </c>
      <c r="G208" s="110">
        <v>34</v>
      </c>
      <c r="H208" s="111">
        <v>34</v>
      </c>
      <c r="I208" s="110">
        <v>3</v>
      </c>
      <c r="J208" s="112">
        <f t="shared" si="51"/>
        <v>3</v>
      </c>
      <c r="K208" s="113">
        <f t="shared" si="52"/>
        <v>70</v>
      </c>
      <c r="L208" s="113">
        <f t="shared" si="53"/>
        <v>70</v>
      </c>
      <c r="M208" s="110">
        <v>37</v>
      </c>
      <c r="N208" s="112">
        <f t="shared" si="54"/>
        <v>37</v>
      </c>
      <c r="O208" s="61">
        <v>1601.6</v>
      </c>
      <c r="P208" s="21">
        <f t="shared" si="55"/>
        <v>59259.199999999997</v>
      </c>
      <c r="Q208" s="128">
        <f t="shared" si="56"/>
        <v>33</v>
      </c>
      <c r="R208" s="128">
        <f t="shared" si="57"/>
        <v>33</v>
      </c>
    </row>
    <row r="209" spans="1:18" ht="14.5" x14ac:dyDescent="0.3">
      <c r="A209" s="16">
        <v>193</v>
      </c>
      <c r="B209" s="17">
        <v>7</v>
      </c>
      <c r="C209" s="18" t="s">
        <v>343</v>
      </c>
      <c r="D209" s="19" t="s">
        <v>344</v>
      </c>
      <c r="E209" s="20" t="s">
        <v>6</v>
      </c>
      <c r="F209" s="20">
        <v>4</v>
      </c>
      <c r="G209" s="110">
        <v>0</v>
      </c>
      <c r="H209" s="111">
        <v>0</v>
      </c>
      <c r="I209" s="108">
        <v>0.25</v>
      </c>
      <c r="J209" s="109">
        <f t="shared" si="51"/>
        <v>0.25</v>
      </c>
      <c r="K209" s="113">
        <f t="shared" si="52"/>
        <v>3</v>
      </c>
      <c r="L209" s="113">
        <f t="shared" si="53"/>
        <v>3</v>
      </c>
      <c r="M209" s="110">
        <v>3</v>
      </c>
      <c r="N209" s="112">
        <f t="shared" si="54"/>
        <v>3</v>
      </c>
      <c r="O209" s="61">
        <v>3678.08</v>
      </c>
      <c r="P209" s="21">
        <f t="shared" si="55"/>
        <v>11034.24</v>
      </c>
      <c r="Q209" s="128">
        <f t="shared" si="56"/>
        <v>0</v>
      </c>
      <c r="R209" s="128">
        <f t="shared" si="57"/>
        <v>0</v>
      </c>
    </row>
    <row r="210" spans="1:18" ht="26" x14ac:dyDescent="0.3">
      <c r="A210" s="16">
        <v>194</v>
      </c>
      <c r="B210" s="63">
        <v>7</v>
      </c>
      <c r="C210" s="64" t="s">
        <v>345</v>
      </c>
      <c r="D210" s="64" t="s">
        <v>346</v>
      </c>
      <c r="E210" s="65" t="s">
        <v>10</v>
      </c>
      <c r="F210" s="65">
        <v>3</v>
      </c>
      <c r="G210" s="110">
        <v>14</v>
      </c>
      <c r="H210" s="111">
        <v>14</v>
      </c>
      <c r="I210" s="110">
        <v>4</v>
      </c>
      <c r="J210" s="112">
        <f t="shared" si="51"/>
        <v>4</v>
      </c>
      <c r="K210" s="113">
        <f t="shared" si="52"/>
        <v>62</v>
      </c>
      <c r="L210" s="113">
        <f t="shared" si="53"/>
        <v>62</v>
      </c>
      <c r="M210" s="110">
        <v>48</v>
      </c>
      <c r="N210" s="112">
        <f t="shared" si="54"/>
        <v>48</v>
      </c>
      <c r="O210" s="61">
        <v>230.72</v>
      </c>
      <c r="P210" s="21">
        <f t="shared" si="55"/>
        <v>11074.56</v>
      </c>
      <c r="Q210" s="128">
        <f t="shared" si="56"/>
        <v>14</v>
      </c>
      <c r="R210" s="128">
        <f t="shared" si="57"/>
        <v>14</v>
      </c>
    </row>
    <row r="211" spans="1:18" ht="33" customHeight="1" x14ac:dyDescent="0.3">
      <c r="A211" s="62">
        <v>195</v>
      </c>
      <c r="B211" s="17">
        <v>7</v>
      </c>
      <c r="C211" s="18" t="s">
        <v>347</v>
      </c>
      <c r="D211" s="19" t="s">
        <v>348</v>
      </c>
      <c r="E211" s="20" t="s">
        <v>10</v>
      </c>
      <c r="F211" s="20">
        <v>2</v>
      </c>
      <c r="G211" s="110">
        <v>9</v>
      </c>
      <c r="H211" s="111">
        <v>9</v>
      </c>
      <c r="I211" s="110">
        <v>3</v>
      </c>
      <c r="J211" s="112">
        <f t="shared" si="51"/>
        <v>3</v>
      </c>
      <c r="K211" s="113">
        <f t="shared" si="52"/>
        <v>45</v>
      </c>
      <c r="L211" s="113">
        <f t="shared" si="53"/>
        <v>45</v>
      </c>
      <c r="M211" s="110">
        <v>36</v>
      </c>
      <c r="N211" s="112">
        <f t="shared" si="54"/>
        <v>36</v>
      </c>
      <c r="O211" s="61">
        <v>806.4</v>
      </c>
      <c r="P211" s="21">
        <f t="shared" si="55"/>
        <v>29030.399999999998</v>
      </c>
      <c r="Q211" s="128">
        <f t="shared" si="56"/>
        <v>9</v>
      </c>
      <c r="R211" s="128">
        <f t="shared" si="57"/>
        <v>9</v>
      </c>
    </row>
    <row r="212" spans="1:18" ht="33" customHeight="1" x14ac:dyDescent="0.3">
      <c r="A212" s="16">
        <v>196</v>
      </c>
      <c r="B212" s="17">
        <v>7</v>
      </c>
      <c r="C212" s="18" t="s">
        <v>349</v>
      </c>
      <c r="D212" s="19" t="s">
        <v>350</v>
      </c>
      <c r="E212" s="20" t="s">
        <v>10</v>
      </c>
      <c r="F212" s="20">
        <v>3</v>
      </c>
      <c r="G212" s="110">
        <v>0</v>
      </c>
      <c r="H212" s="111">
        <v>0</v>
      </c>
      <c r="I212" s="110">
        <v>0.5</v>
      </c>
      <c r="J212" s="112">
        <f t="shared" si="51"/>
        <v>0.5</v>
      </c>
      <c r="K212" s="113">
        <f t="shared" si="52"/>
        <v>6</v>
      </c>
      <c r="L212" s="113">
        <f t="shared" si="53"/>
        <v>6</v>
      </c>
      <c r="M212" s="110">
        <v>5</v>
      </c>
      <c r="N212" s="112">
        <f t="shared" si="54"/>
        <v>5</v>
      </c>
      <c r="O212" s="61">
        <v>3225.6</v>
      </c>
      <c r="P212" s="21">
        <f t="shared" si="55"/>
        <v>16128</v>
      </c>
      <c r="Q212" s="128">
        <f t="shared" si="56"/>
        <v>1</v>
      </c>
      <c r="R212" s="128">
        <f t="shared" si="57"/>
        <v>1</v>
      </c>
    </row>
    <row r="213" spans="1:18" ht="41.4" customHeight="1" x14ac:dyDescent="0.3">
      <c r="A213" s="16">
        <v>197</v>
      </c>
      <c r="B213" s="63">
        <v>7</v>
      </c>
      <c r="C213" s="64" t="s">
        <v>351</v>
      </c>
      <c r="D213" s="64" t="s">
        <v>352</v>
      </c>
      <c r="E213" s="65" t="s">
        <v>10</v>
      </c>
      <c r="F213" s="65">
        <v>3</v>
      </c>
      <c r="G213" s="110">
        <v>2</v>
      </c>
      <c r="H213" s="111">
        <v>2</v>
      </c>
      <c r="I213" s="110">
        <v>2</v>
      </c>
      <c r="J213" s="112">
        <f t="shared" si="51"/>
        <v>2</v>
      </c>
      <c r="K213" s="113">
        <f t="shared" si="52"/>
        <v>26</v>
      </c>
      <c r="L213" s="113">
        <f t="shared" si="53"/>
        <v>26</v>
      </c>
      <c r="M213" s="110">
        <v>24</v>
      </c>
      <c r="N213" s="112">
        <f t="shared" si="54"/>
        <v>24</v>
      </c>
      <c r="O213" s="61">
        <v>3353.28</v>
      </c>
      <c r="P213" s="21">
        <f t="shared" si="55"/>
        <v>80478.720000000001</v>
      </c>
      <c r="Q213" s="128">
        <f t="shared" si="56"/>
        <v>2</v>
      </c>
      <c r="R213" s="128">
        <f t="shared" si="57"/>
        <v>2</v>
      </c>
    </row>
    <row r="214" spans="1:18" ht="32.4" customHeight="1" x14ac:dyDescent="0.3">
      <c r="A214" s="62">
        <v>198</v>
      </c>
      <c r="B214" s="63">
        <v>7</v>
      </c>
      <c r="C214" s="64" t="s">
        <v>353</v>
      </c>
      <c r="D214" s="64" t="s">
        <v>354</v>
      </c>
      <c r="E214" s="65" t="s">
        <v>10</v>
      </c>
      <c r="F214" s="65">
        <v>6</v>
      </c>
      <c r="G214" s="110">
        <v>12</v>
      </c>
      <c r="H214" s="111">
        <v>12</v>
      </c>
      <c r="I214" s="110">
        <v>1</v>
      </c>
      <c r="J214" s="112">
        <f t="shared" si="51"/>
        <v>1</v>
      </c>
      <c r="K214" s="113">
        <f t="shared" si="52"/>
        <v>24</v>
      </c>
      <c r="L214" s="113">
        <f t="shared" si="53"/>
        <v>24</v>
      </c>
      <c r="M214" s="110">
        <v>12</v>
      </c>
      <c r="N214" s="112">
        <f t="shared" si="54"/>
        <v>12</v>
      </c>
      <c r="O214" s="61">
        <v>4475.5200000000004</v>
      </c>
      <c r="P214" s="21">
        <f t="shared" si="55"/>
        <v>53706.240000000005</v>
      </c>
      <c r="Q214" s="128">
        <f t="shared" si="56"/>
        <v>12</v>
      </c>
      <c r="R214" s="128">
        <f t="shared" si="57"/>
        <v>12</v>
      </c>
    </row>
    <row r="215" spans="1:18" ht="26" x14ac:dyDescent="0.3">
      <c r="A215" s="16">
        <v>199</v>
      </c>
      <c r="B215" s="16">
        <v>7</v>
      </c>
      <c r="C215" s="22" t="s">
        <v>355</v>
      </c>
      <c r="D215" s="29" t="s">
        <v>356</v>
      </c>
      <c r="E215" s="24" t="s">
        <v>10</v>
      </c>
      <c r="F215" s="24">
        <v>3</v>
      </c>
      <c r="G215" s="110">
        <v>35</v>
      </c>
      <c r="H215" s="111">
        <v>35</v>
      </c>
      <c r="I215" s="110">
        <v>6</v>
      </c>
      <c r="J215" s="112">
        <f t="shared" si="51"/>
        <v>6</v>
      </c>
      <c r="K215" s="113">
        <f t="shared" si="52"/>
        <v>107</v>
      </c>
      <c r="L215" s="113">
        <f t="shared" si="53"/>
        <v>107</v>
      </c>
      <c r="M215" s="110">
        <v>72</v>
      </c>
      <c r="N215" s="112">
        <f t="shared" si="54"/>
        <v>72</v>
      </c>
      <c r="O215" s="61">
        <v>517.44000000000005</v>
      </c>
      <c r="P215" s="21">
        <f t="shared" si="55"/>
        <v>37255.680000000008</v>
      </c>
      <c r="Q215" s="128">
        <f t="shared" si="56"/>
        <v>35</v>
      </c>
      <c r="R215" s="128">
        <f t="shared" si="57"/>
        <v>35</v>
      </c>
    </row>
    <row r="216" spans="1:18" ht="28.75" customHeight="1" x14ac:dyDescent="0.3">
      <c r="A216" s="16">
        <v>200</v>
      </c>
      <c r="B216" s="16">
        <v>7</v>
      </c>
      <c r="C216" s="22" t="s">
        <v>357</v>
      </c>
      <c r="D216" s="29" t="s">
        <v>358</v>
      </c>
      <c r="E216" s="24" t="s">
        <v>10</v>
      </c>
      <c r="F216" s="24">
        <v>3</v>
      </c>
      <c r="G216" s="110">
        <v>161</v>
      </c>
      <c r="H216" s="111">
        <v>161</v>
      </c>
      <c r="I216" s="110">
        <v>13</v>
      </c>
      <c r="J216" s="112">
        <f t="shared" si="51"/>
        <v>13</v>
      </c>
      <c r="K216" s="113">
        <f t="shared" si="52"/>
        <v>317</v>
      </c>
      <c r="L216" s="113">
        <f t="shared" si="53"/>
        <v>317</v>
      </c>
      <c r="M216" s="110">
        <v>156</v>
      </c>
      <c r="N216" s="112">
        <f t="shared" si="54"/>
        <v>156</v>
      </c>
      <c r="O216" s="61">
        <v>148.69999999999999</v>
      </c>
      <c r="P216" s="21">
        <f t="shared" si="55"/>
        <v>23197.199999999997</v>
      </c>
      <c r="Q216" s="128">
        <f t="shared" si="56"/>
        <v>161</v>
      </c>
      <c r="R216" s="128">
        <f t="shared" si="57"/>
        <v>161</v>
      </c>
    </row>
    <row r="217" spans="1:18" ht="26" x14ac:dyDescent="0.3">
      <c r="A217" s="62">
        <v>201</v>
      </c>
      <c r="B217" s="16">
        <v>7</v>
      </c>
      <c r="C217" s="22">
        <v>200</v>
      </c>
      <c r="D217" s="29" t="s">
        <v>359</v>
      </c>
      <c r="E217" s="24" t="s">
        <v>10</v>
      </c>
      <c r="F217" s="24">
        <v>4</v>
      </c>
      <c r="G217" s="110">
        <v>0</v>
      </c>
      <c r="H217" s="111">
        <v>0</v>
      </c>
      <c r="I217" s="110">
        <v>1</v>
      </c>
      <c r="J217" s="112">
        <f t="shared" si="51"/>
        <v>1</v>
      </c>
      <c r="K217" s="113">
        <f t="shared" si="52"/>
        <v>12</v>
      </c>
      <c r="L217" s="113">
        <f t="shared" si="53"/>
        <v>12</v>
      </c>
      <c r="M217" s="110">
        <v>11</v>
      </c>
      <c r="N217" s="112">
        <f t="shared" si="54"/>
        <v>11</v>
      </c>
      <c r="O217" s="61">
        <v>996.8</v>
      </c>
      <c r="P217" s="21">
        <f t="shared" si="55"/>
        <v>10964.8</v>
      </c>
      <c r="Q217" s="128">
        <f t="shared" si="56"/>
        <v>1</v>
      </c>
      <c r="R217" s="128">
        <f t="shared" si="57"/>
        <v>1</v>
      </c>
    </row>
    <row r="218" spans="1:18" ht="25.75" customHeight="1" x14ac:dyDescent="0.3">
      <c r="A218" s="16">
        <v>202</v>
      </c>
      <c r="B218" s="17">
        <v>7</v>
      </c>
      <c r="C218" s="18" t="s">
        <v>360</v>
      </c>
      <c r="D218" s="19" t="s">
        <v>361</v>
      </c>
      <c r="E218" s="20" t="s">
        <v>10</v>
      </c>
      <c r="F218" s="20">
        <v>3</v>
      </c>
      <c r="G218" s="110">
        <v>4</v>
      </c>
      <c r="H218" s="111">
        <v>4</v>
      </c>
      <c r="I218" s="110">
        <v>1.5</v>
      </c>
      <c r="J218" s="112">
        <f t="shared" si="51"/>
        <v>1.5</v>
      </c>
      <c r="K218" s="113">
        <f t="shared" si="52"/>
        <v>22</v>
      </c>
      <c r="L218" s="113">
        <f t="shared" si="53"/>
        <v>22</v>
      </c>
      <c r="M218" s="110">
        <v>18</v>
      </c>
      <c r="N218" s="112">
        <f t="shared" si="54"/>
        <v>18</v>
      </c>
      <c r="O218" s="61">
        <v>2237.7600000000002</v>
      </c>
      <c r="P218" s="21">
        <f t="shared" si="55"/>
        <v>40279.680000000008</v>
      </c>
      <c r="Q218" s="128">
        <f t="shared" si="56"/>
        <v>4</v>
      </c>
      <c r="R218" s="128">
        <f t="shared" si="57"/>
        <v>4</v>
      </c>
    </row>
    <row r="219" spans="1:18" ht="14.5" x14ac:dyDescent="0.3">
      <c r="A219" s="16">
        <v>203</v>
      </c>
      <c r="B219" s="17">
        <v>7</v>
      </c>
      <c r="C219" s="18" t="s">
        <v>362</v>
      </c>
      <c r="D219" s="19" t="s">
        <v>363</v>
      </c>
      <c r="E219" s="20" t="s">
        <v>10</v>
      </c>
      <c r="F219" s="20">
        <v>3</v>
      </c>
      <c r="G219" s="110">
        <v>27</v>
      </c>
      <c r="H219" s="111">
        <v>27</v>
      </c>
      <c r="I219" s="108">
        <v>0.25</v>
      </c>
      <c r="J219" s="109">
        <f t="shared" si="51"/>
        <v>0.25</v>
      </c>
      <c r="K219" s="113">
        <f t="shared" si="52"/>
        <v>30</v>
      </c>
      <c r="L219" s="113">
        <f t="shared" si="53"/>
        <v>30</v>
      </c>
      <c r="M219" s="110">
        <v>3</v>
      </c>
      <c r="N219" s="112">
        <f t="shared" si="54"/>
        <v>3</v>
      </c>
      <c r="O219" s="61">
        <v>913.92</v>
      </c>
      <c r="P219" s="21">
        <f t="shared" si="55"/>
        <v>2741.7599999999998</v>
      </c>
      <c r="Q219" s="128">
        <f t="shared" si="56"/>
        <v>27</v>
      </c>
      <c r="R219" s="128">
        <f t="shared" si="57"/>
        <v>27</v>
      </c>
    </row>
    <row r="220" spans="1:18" ht="27" customHeight="1" x14ac:dyDescent="0.3">
      <c r="A220" s="62">
        <v>204</v>
      </c>
      <c r="B220" s="17">
        <v>7</v>
      </c>
      <c r="C220" s="18" t="s">
        <v>364</v>
      </c>
      <c r="D220" s="19" t="s">
        <v>365</v>
      </c>
      <c r="E220" s="20" t="s">
        <v>10</v>
      </c>
      <c r="F220" s="20">
        <v>6</v>
      </c>
      <c r="G220" s="110">
        <v>98</v>
      </c>
      <c r="H220" s="111">
        <v>98</v>
      </c>
      <c r="I220" s="110">
        <v>7</v>
      </c>
      <c r="J220" s="112">
        <f t="shared" si="51"/>
        <v>7</v>
      </c>
      <c r="K220" s="113">
        <f t="shared" si="52"/>
        <v>182</v>
      </c>
      <c r="L220" s="113">
        <f t="shared" si="53"/>
        <v>182</v>
      </c>
      <c r="M220" s="110">
        <v>150</v>
      </c>
      <c r="N220" s="112">
        <f t="shared" si="54"/>
        <v>150</v>
      </c>
      <c r="O220" s="61">
        <v>2116.8000000000002</v>
      </c>
      <c r="P220" s="21">
        <f t="shared" si="55"/>
        <v>317520</v>
      </c>
      <c r="Q220" s="128">
        <f t="shared" si="56"/>
        <v>32</v>
      </c>
      <c r="R220" s="128">
        <f t="shared" si="57"/>
        <v>32</v>
      </c>
    </row>
    <row r="221" spans="1:18" ht="27" customHeight="1" x14ac:dyDescent="0.3">
      <c r="A221" s="16">
        <v>205</v>
      </c>
      <c r="B221" s="17">
        <v>7</v>
      </c>
      <c r="C221" s="18" t="s">
        <v>366</v>
      </c>
      <c r="D221" s="19" t="s">
        <v>367</v>
      </c>
      <c r="E221" s="20" t="s">
        <v>10</v>
      </c>
      <c r="F221" s="20">
        <v>6</v>
      </c>
      <c r="G221" s="110">
        <v>53</v>
      </c>
      <c r="H221" s="111">
        <v>53</v>
      </c>
      <c r="I221" s="110">
        <v>10</v>
      </c>
      <c r="J221" s="112">
        <f t="shared" si="51"/>
        <v>10</v>
      </c>
      <c r="K221" s="113">
        <f t="shared" si="52"/>
        <v>173</v>
      </c>
      <c r="L221" s="113">
        <f t="shared" si="53"/>
        <v>173</v>
      </c>
      <c r="M221" s="110">
        <v>150</v>
      </c>
      <c r="N221" s="112">
        <f t="shared" si="54"/>
        <v>150</v>
      </c>
      <c r="O221" s="61">
        <v>2639.84</v>
      </c>
      <c r="P221" s="21">
        <f t="shared" si="55"/>
        <v>395976</v>
      </c>
      <c r="Q221" s="128">
        <f t="shared" si="56"/>
        <v>23</v>
      </c>
      <c r="R221" s="128">
        <f t="shared" si="57"/>
        <v>23</v>
      </c>
    </row>
    <row r="222" spans="1:18" ht="14.5" x14ac:dyDescent="0.3">
      <c r="A222" s="16">
        <v>206</v>
      </c>
      <c r="B222" s="17">
        <v>7</v>
      </c>
      <c r="C222" s="18">
        <v>205</v>
      </c>
      <c r="D222" s="19" t="s">
        <v>368</v>
      </c>
      <c r="E222" s="20" t="s">
        <v>6</v>
      </c>
      <c r="F222" s="20">
        <v>6</v>
      </c>
      <c r="G222" s="110">
        <v>0</v>
      </c>
      <c r="H222" s="111">
        <v>0</v>
      </c>
      <c r="I222" s="110">
        <v>1</v>
      </c>
      <c r="J222" s="112">
        <f t="shared" si="51"/>
        <v>1</v>
      </c>
      <c r="K222" s="113">
        <f t="shared" si="52"/>
        <v>12</v>
      </c>
      <c r="L222" s="113">
        <f t="shared" si="53"/>
        <v>12</v>
      </c>
      <c r="M222" s="110">
        <v>12</v>
      </c>
      <c r="N222" s="112">
        <f t="shared" si="54"/>
        <v>12</v>
      </c>
      <c r="O222" s="61">
        <v>2639.84</v>
      </c>
      <c r="P222" s="21">
        <f t="shared" si="55"/>
        <v>31678.080000000002</v>
      </c>
      <c r="Q222" s="128">
        <f t="shared" si="56"/>
        <v>0</v>
      </c>
      <c r="R222" s="128">
        <f t="shared" si="57"/>
        <v>0</v>
      </c>
    </row>
    <row r="223" spans="1:18" ht="14.5" x14ac:dyDescent="0.3">
      <c r="A223" s="62">
        <v>207</v>
      </c>
      <c r="B223" s="17">
        <v>7</v>
      </c>
      <c r="C223" s="18">
        <v>206</v>
      </c>
      <c r="D223" s="19" t="s">
        <v>369</v>
      </c>
      <c r="E223" s="20" t="s">
        <v>6</v>
      </c>
      <c r="F223" s="20">
        <v>6</v>
      </c>
      <c r="G223" s="110">
        <v>0</v>
      </c>
      <c r="H223" s="111">
        <v>0</v>
      </c>
      <c r="I223" s="110">
        <v>1</v>
      </c>
      <c r="J223" s="112">
        <f t="shared" si="51"/>
        <v>1</v>
      </c>
      <c r="K223" s="113">
        <f t="shared" si="52"/>
        <v>12</v>
      </c>
      <c r="L223" s="113">
        <f t="shared" si="53"/>
        <v>12</v>
      </c>
      <c r="M223" s="110">
        <v>12</v>
      </c>
      <c r="N223" s="112">
        <f t="shared" si="54"/>
        <v>12</v>
      </c>
      <c r="O223" s="61">
        <v>2639.84</v>
      </c>
      <c r="P223" s="21">
        <f t="shared" si="55"/>
        <v>31678.080000000002</v>
      </c>
      <c r="Q223" s="128">
        <f t="shared" si="56"/>
        <v>0</v>
      </c>
      <c r="R223" s="128">
        <f t="shared" si="57"/>
        <v>0</v>
      </c>
    </row>
    <row r="224" spans="1:18" ht="14.5" x14ac:dyDescent="0.3">
      <c r="A224" s="16">
        <v>208</v>
      </c>
      <c r="B224" s="63">
        <v>7</v>
      </c>
      <c r="C224" s="64" t="s">
        <v>370</v>
      </c>
      <c r="D224" s="64" t="s">
        <v>371</v>
      </c>
      <c r="E224" s="65" t="s">
        <v>6</v>
      </c>
      <c r="F224" s="65">
        <v>2</v>
      </c>
      <c r="G224" s="110">
        <v>17</v>
      </c>
      <c r="H224" s="111">
        <v>17</v>
      </c>
      <c r="I224" s="110">
        <v>5</v>
      </c>
      <c r="J224" s="112">
        <f t="shared" si="51"/>
        <v>5</v>
      </c>
      <c r="K224" s="113">
        <f t="shared" si="52"/>
        <v>77</v>
      </c>
      <c r="L224" s="113">
        <f t="shared" si="53"/>
        <v>77</v>
      </c>
      <c r="M224" s="110">
        <v>60</v>
      </c>
      <c r="N224" s="112">
        <f t="shared" si="54"/>
        <v>60</v>
      </c>
      <c r="O224" s="61">
        <v>61.75</v>
      </c>
      <c r="P224" s="21">
        <f t="shared" si="55"/>
        <v>3705</v>
      </c>
      <c r="Q224" s="128">
        <f t="shared" si="56"/>
        <v>17</v>
      </c>
      <c r="R224" s="128">
        <f t="shared" si="57"/>
        <v>17</v>
      </c>
    </row>
    <row r="225" spans="1:18" ht="14.5" x14ac:dyDescent="0.3">
      <c r="A225" s="16">
        <v>209</v>
      </c>
      <c r="B225" s="63">
        <v>7</v>
      </c>
      <c r="C225" s="64">
        <v>208</v>
      </c>
      <c r="D225" s="64" t="s">
        <v>372</v>
      </c>
      <c r="E225" s="65" t="s">
        <v>10</v>
      </c>
      <c r="F225" s="65">
        <v>5</v>
      </c>
      <c r="G225" s="110">
        <v>0</v>
      </c>
      <c r="H225" s="111">
        <v>0</v>
      </c>
      <c r="I225" s="110">
        <v>1</v>
      </c>
      <c r="J225" s="112">
        <f t="shared" si="51"/>
        <v>1</v>
      </c>
      <c r="K225" s="113">
        <f t="shared" si="52"/>
        <v>12</v>
      </c>
      <c r="L225" s="113">
        <f t="shared" si="53"/>
        <v>12</v>
      </c>
      <c r="M225" s="110">
        <v>12</v>
      </c>
      <c r="N225" s="112">
        <f t="shared" si="54"/>
        <v>12</v>
      </c>
      <c r="O225" s="61">
        <v>1134.49</v>
      </c>
      <c r="P225" s="21">
        <f t="shared" si="55"/>
        <v>13613.880000000001</v>
      </c>
      <c r="Q225" s="128">
        <f t="shared" si="56"/>
        <v>0</v>
      </c>
      <c r="R225" s="128">
        <f t="shared" si="57"/>
        <v>0</v>
      </c>
    </row>
    <row r="226" spans="1:18" s="15" customFormat="1" ht="15" customHeight="1" x14ac:dyDescent="0.3">
      <c r="A226" s="254" t="s">
        <v>373</v>
      </c>
      <c r="B226" s="254"/>
      <c r="C226" s="254"/>
      <c r="D226" s="254"/>
      <c r="E226" s="254"/>
      <c r="F226" s="254"/>
      <c r="G226" s="12">
        <f>SUM(G227:G228)</f>
        <v>108</v>
      </c>
      <c r="H226" s="12">
        <f t="shared" ref="H226:R226" si="58">SUM(H227:H228)</f>
        <v>108</v>
      </c>
      <c r="I226" s="12">
        <f t="shared" si="58"/>
        <v>12</v>
      </c>
      <c r="J226" s="12">
        <f t="shared" si="58"/>
        <v>12</v>
      </c>
      <c r="K226" s="12">
        <f t="shared" si="58"/>
        <v>252</v>
      </c>
      <c r="L226" s="12">
        <f t="shared" si="58"/>
        <v>252</v>
      </c>
      <c r="M226" s="12">
        <f t="shared" si="58"/>
        <v>144</v>
      </c>
      <c r="N226" s="12">
        <f t="shared" ref="N226" si="59">SUM(N227:N228)</f>
        <v>144</v>
      </c>
      <c r="O226" s="1" t="s">
        <v>426</v>
      </c>
      <c r="P226" s="14">
        <f t="shared" si="58"/>
        <v>3940.8</v>
      </c>
      <c r="Q226" s="12">
        <f>SUM(Q227:Q228)</f>
        <v>108</v>
      </c>
      <c r="R226" s="12">
        <f t="shared" si="58"/>
        <v>108</v>
      </c>
    </row>
    <row r="227" spans="1:18" ht="14.5" x14ac:dyDescent="0.3">
      <c r="A227" s="16">
        <v>210</v>
      </c>
      <c r="B227" s="16">
        <v>8</v>
      </c>
      <c r="C227" s="18" t="s">
        <v>374</v>
      </c>
      <c r="D227" s="19" t="s">
        <v>375</v>
      </c>
      <c r="E227" s="20" t="s">
        <v>6</v>
      </c>
      <c r="F227" s="20">
        <v>5</v>
      </c>
      <c r="G227" s="110">
        <v>13</v>
      </c>
      <c r="H227" s="111">
        <v>13</v>
      </c>
      <c r="I227" s="110">
        <v>4</v>
      </c>
      <c r="J227" s="112">
        <f t="shared" si="51"/>
        <v>4</v>
      </c>
      <c r="K227" s="113">
        <f t="shared" si="52"/>
        <v>61</v>
      </c>
      <c r="L227" s="113">
        <f t="shared" si="53"/>
        <v>61</v>
      </c>
      <c r="M227" s="110">
        <v>48</v>
      </c>
      <c r="N227" s="112">
        <f t="shared" si="54"/>
        <v>48</v>
      </c>
      <c r="O227" s="61">
        <v>57.68</v>
      </c>
      <c r="P227" s="21">
        <f t="shared" si="55"/>
        <v>2768.64</v>
      </c>
      <c r="Q227" s="128">
        <f t="shared" si="56"/>
        <v>13</v>
      </c>
      <c r="R227" s="128">
        <f t="shared" si="57"/>
        <v>13</v>
      </c>
    </row>
    <row r="228" spans="1:18" ht="14.5" x14ac:dyDescent="0.3">
      <c r="A228" s="16">
        <v>211</v>
      </c>
      <c r="B228" s="16">
        <v>8</v>
      </c>
      <c r="C228" s="18" t="s">
        <v>376</v>
      </c>
      <c r="D228" s="19" t="s">
        <v>377</v>
      </c>
      <c r="E228" s="20" t="s">
        <v>6</v>
      </c>
      <c r="F228" s="20">
        <v>5</v>
      </c>
      <c r="G228" s="110">
        <v>95</v>
      </c>
      <c r="H228" s="111">
        <v>95</v>
      </c>
      <c r="I228" s="110">
        <v>8</v>
      </c>
      <c r="J228" s="112">
        <f t="shared" si="51"/>
        <v>8</v>
      </c>
      <c r="K228" s="113">
        <f t="shared" si="52"/>
        <v>191</v>
      </c>
      <c r="L228" s="113">
        <f t="shared" si="53"/>
        <v>191</v>
      </c>
      <c r="M228" s="110">
        <v>96</v>
      </c>
      <c r="N228" s="112">
        <f t="shared" si="54"/>
        <v>96</v>
      </c>
      <c r="O228" s="61">
        <v>12.21</v>
      </c>
      <c r="P228" s="21">
        <f t="shared" si="55"/>
        <v>1172.1600000000001</v>
      </c>
      <c r="Q228" s="128">
        <f t="shared" si="56"/>
        <v>95</v>
      </c>
      <c r="R228" s="128">
        <f t="shared" si="57"/>
        <v>95</v>
      </c>
    </row>
    <row r="229" spans="1:18" s="15" customFormat="1" ht="15" customHeight="1" x14ac:dyDescent="0.3">
      <c r="A229" s="254" t="s">
        <v>378</v>
      </c>
      <c r="B229" s="254"/>
      <c r="C229" s="254"/>
      <c r="D229" s="254"/>
      <c r="E229" s="254"/>
      <c r="F229" s="254"/>
      <c r="G229" s="12">
        <f>SUM(G230:G233)</f>
        <v>58</v>
      </c>
      <c r="H229" s="12">
        <f t="shared" ref="H229:R229" si="60">SUM(H230:H233)</f>
        <v>82</v>
      </c>
      <c r="I229" s="12">
        <f t="shared" si="60"/>
        <v>43</v>
      </c>
      <c r="J229" s="12">
        <f t="shared" si="60"/>
        <v>54</v>
      </c>
      <c r="K229" s="12">
        <f t="shared" si="60"/>
        <v>574</v>
      </c>
      <c r="L229" s="12">
        <f t="shared" si="60"/>
        <v>730</v>
      </c>
      <c r="M229" s="12">
        <f t="shared" si="60"/>
        <v>514</v>
      </c>
      <c r="N229" s="12">
        <f t="shared" ref="N229" si="61">SUM(N230:N233)</f>
        <v>646</v>
      </c>
      <c r="O229" s="1" t="s">
        <v>426</v>
      </c>
      <c r="P229" s="14">
        <f t="shared" si="60"/>
        <v>299896</v>
      </c>
      <c r="Q229" s="12">
        <f>SUM(Q230:Q233)</f>
        <v>60</v>
      </c>
      <c r="R229" s="12">
        <f t="shared" si="60"/>
        <v>84</v>
      </c>
    </row>
    <row r="230" spans="1:18" ht="14.4" customHeight="1" x14ac:dyDescent="0.3">
      <c r="A230" s="16">
        <v>212</v>
      </c>
      <c r="B230" s="16">
        <v>9</v>
      </c>
      <c r="C230" s="22">
        <v>211</v>
      </c>
      <c r="D230" s="29" t="s">
        <v>379</v>
      </c>
      <c r="E230" s="24" t="s">
        <v>10</v>
      </c>
      <c r="F230" s="24">
        <v>3</v>
      </c>
      <c r="G230" s="110">
        <v>0</v>
      </c>
      <c r="H230" s="111">
        <v>0</v>
      </c>
      <c r="I230" s="110">
        <v>15</v>
      </c>
      <c r="J230" s="112">
        <f t="shared" si="51"/>
        <v>15</v>
      </c>
      <c r="K230" s="113">
        <f t="shared" si="52"/>
        <v>180</v>
      </c>
      <c r="L230" s="113">
        <f t="shared" si="53"/>
        <v>180</v>
      </c>
      <c r="M230" s="110">
        <v>180</v>
      </c>
      <c r="N230" s="112">
        <f t="shared" si="54"/>
        <v>180</v>
      </c>
      <c r="O230" s="61">
        <v>140</v>
      </c>
      <c r="P230" s="21">
        <f t="shared" si="55"/>
        <v>25200</v>
      </c>
      <c r="Q230" s="128">
        <f t="shared" si="56"/>
        <v>0</v>
      </c>
      <c r="R230" s="128">
        <f t="shared" si="57"/>
        <v>0</v>
      </c>
    </row>
    <row r="231" spans="1:18" ht="30" customHeight="1" x14ac:dyDescent="0.3">
      <c r="A231" s="16">
        <v>213</v>
      </c>
      <c r="B231" s="16">
        <v>9</v>
      </c>
      <c r="C231" s="22">
        <v>212</v>
      </c>
      <c r="D231" s="29" t="s">
        <v>380</v>
      </c>
      <c r="E231" s="24" t="s">
        <v>6</v>
      </c>
      <c r="F231" s="24">
        <v>2</v>
      </c>
      <c r="G231" s="110">
        <v>0</v>
      </c>
      <c r="H231" s="111">
        <v>0</v>
      </c>
      <c r="I231" s="110">
        <v>2</v>
      </c>
      <c r="J231" s="112">
        <f t="shared" si="51"/>
        <v>2</v>
      </c>
      <c r="K231" s="113">
        <f t="shared" si="52"/>
        <v>24</v>
      </c>
      <c r="L231" s="113">
        <f t="shared" si="53"/>
        <v>24</v>
      </c>
      <c r="M231" s="110">
        <v>22</v>
      </c>
      <c r="N231" s="112">
        <f t="shared" si="54"/>
        <v>22</v>
      </c>
      <c r="O231" s="61">
        <v>4300</v>
      </c>
      <c r="P231" s="21">
        <f t="shared" si="55"/>
        <v>94600</v>
      </c>
      <c r="Q231" s="128">
        <f t="shared" si="56"/>
        <v>2</v>
      </c>
      <c r="R231" s="128">
        <f t="shared" si="57"/>
        <v>2</v>
      </c>
    </row>
    <row r="232" spans="1:18" ht="14.5" x14ac:dyDescent="0.3">
      <c r="A232" s="16">
        <v>214</v>
      </c>
      <c r="B232" s="16">
        <v>9</v>
      </c>
      <c r="C232" s="22" t="s">
        <v>414</v>
      </c>
      <c r="D232" s="29" t="s">
        <v>381</v>
      </c>
      <c r="E232" s="24" t="s">
        <v>10</v>
      </c>
      <c r="F232" s="24">
        <v>10</v>
      </c>
      <c r="G232" s="110">
        <v>34</v>
      </c>
      <c r="H232" s="111">
        <v>34</v>
      </c>
      <c r="I232" s="110">
        <v>15</v>
      </c>
      <c r="J232" s="112">
        <f t="shared" si="51"/>
        <v>15</v>
      </c>
      <c r="K232" s="113">
        <f t="shared" si="52"/>
        <v>214</v>
      </c>
      <c r="L232" s="113">
        <f t="shared" si="53"/>
        <v>214</v>
      </c>
      <c r="M232" s="110">
        <v>180</v>
      </c>
      <c r="N232" s="112">
        <f t="shared" si="54"/>
        <v>180</v>
      </c>
      <c r="O232" s="61">
        <v>795.2</v>
      </c>
      <c r="P232" s="21">
        <f t="shared" si="55"/>
        <v>143136</v>
      </c>
      <c r="Q232" s="128">
        <f t="shared" si="56"/>
        <v>34</v>
      </c>
      <c r="R232" s="128">
        <f t="shared" si="57"/>
        <v>34</v>
      </c>
    </row>
    <row r="233" spans="1:18" ht="26.4" customHeight="1" x14ac:dyDescent="0.3">
      <c r="A233" s="16">
        <v>215</v>
      </c>
      <c r="B233" s="16">
        <v>9</v>
      </c>
      <c r="C233" s="22" t="s">
        <v>382</v>
      </c>
      <c r="D233" s="29" t="s">
        <v>383</v>
      </c>
      <c r="E233" s="24" t="s">
        <v>6</v>
      </c>
      <c r="F233" s="24">
        <v>5</v>
      </c>
      <c r="G233" s="110">
        <v>24</v>
      </c>
      <c r="H233" s="111">
        <v>48</v>
      </c>
      <c r="I233" s="110">
        <v>11</v>
      </c>
      <c r="J233" s="112">
        <f t="shared" si="51"/>
        <v>22</v>
      </c>
      <c r="K233" s="113">
        <f t="shared" si="52"/>
        <v>156</v>
      </c>
      <c r="L233" s="113">
        <f t="shared" si="53"/>
        <v>312</v>
      </c>
      <c r="M233" s="110">
        <v>132</v>
      </c>
      <c r="N233" s="112">
        <f t="shared" si="54"/>
        <v>264</v>
      </c>
      <c r="O233" s="61">
        <v>140</v>
      </c>
      <c r="P233" s="21">
        <f t="shared" si="55"/>
        <v>36960</v>
      </c>
      <c r="Q233" s="128">
        <f t="shared" si="56"/>
        <v>24</v>
      </c>
      <c r="R233" s="128">
        <f t="shared" si="57"/>
        <v>48</v>
      </c>
    </row>
    <row r="234" spans="1:18" s="15" customFormat="1" ht="15" customHeight="1" x14ac:dyDescent="0.3">
      <c r="A234" s="254" t="s">
        <v>384</v>
      </c>
      <c r="B234" s="254"/>
      <c r="C234" s="254"/>
      <c r="D234" s="254"/>
      <c r="E234" s="254"/>
      <c r="F234" s="254"/>
      <c r="G234" s="12">
        <f>SUM(G235:G243)</f>
        <v>5</v>
      </c>
      <c r="H234" s="12">
        <f t="shared" ref="H234:R234" si="62">SUM(H235:H243)</f>
        <v>5</v>
      </c>
      <c r="I234" s="12">
        <f t="shared" si="62"/>
        <v>3</v>
      </c>
      <c r="J234" s="12">
        <f t="shared" si="62"/>
        <v>3</v>
      </c>
      <c r="K234" s="12">
        <f t="shared" si="62"/>
        <v>41</v>
      </c>
      <c r="L234" s="12">
        <f t="shared" si="62"/>
        <v>41</v>
      </c>
      <c r="M234" s="12">
        <f t="shared" si="62"/>
        <v>27</v>
      </c>
      <c r="N234" s="12">
        <f t="shared" ref="N234" si="63">SUM(N235:N243)</f>
        <v>27</v>
      </c>
      <c r="O234" s="1" t="s">
        <v>426</v>
      </c>
      <c r="P234" s="14">
        <f t="shared" si="62"/>
        <v>15480.769999999999</v>
      </c>
      <c r="Q234" s="12">
        <f>SUM(Q235:Q243)</f>
        <v>14</v>
      </c>
      <c r="R234" s="12">
        <f t="shared" si="62"/>
        <v>14</v>
      </c>
    </row>
    <row r="235" spans="1:18" ht="14.5" x14ac:dyDescent="0.3">
      <c r="A235" s="16">
        <v>216</v>
      </c>
      <c r="B235" s="17">
        <v>10</v>
      </c>
      <c r="C235" s="18" t="s">
        <v>385</v>
      </c>
      <c r="D235" s="19" t="s">
        <v>386</v>
      </c>
      <c r="E235" s="20" t="s">
        <v>10</v>
      </c>
      <c r="F235" s="20">
        <v>3</v>
      </c>
      <c r="G235" s="110">
        <v>2</v>
      </c>
      <c r="H235" s="111">
        <v>2</v>
      </c>
      <c r="I235" s="108">
        <v>0.25</v>
      </c>
      <c r="J235" s="109">
        <f t="shared" si="51"/>
        <v>0.25</v>
      </c>
      <c r="K235" s="113">
        <f t="shared" si="52"/>
        <v>5</v>
      </c>
      <c r="L235" s="113">
        <f t="shared" si="53"/>
        <v>5</v>
      </c>
      <c r="M235" s="110">
        <v>4</v>
      </c>
      <c r="N235" s="112">
        <f t="shared" si="54"/>
        <v>4</v>
      </c>
      <c r="O235" s="61">
        <v>263.2</v>
      </c>
      <c r="P235" s="21">
        <f t="shared" si="55"/>
        <v>1052.8</v>
      </c>
      <c r="Q235" s="128">
        <f t="shared" si="56"/>
        <v>1</v>
      </c>
      <c r="R235" s="128">
        <f t="shared" si="57"/>
        <v>1</v>
      </c>
    </row>
    <row r="236" spans="1:18" ht="14.5" x14ac:dyDescent="0.3">
      <c r="A236" s="16">
        <v>217</v>
      </c>
      <c r="B236" s="17">
        <v>10</v>
      </c>
      <c r="C236" s="18" t="s">
        <v>387</v>
      </c>
      <c r="D236" s="19" t="s">
        <v>388</v>
      </c>
      <c r="E236" s="20" t="s">
        <v>6</v>
      </c>
      <c r="F236" s="20">
        <v>3</v>
      </c>
      <c r="G236" s="110">
        <v>1</v>
      </c>
      <c r="H236" s="111">
        <v>1</v>
      </c>
      <c r="I236" s="110">
        <v>0.5</v>
      </c>
      <c r="J236" s="112">
        <f t="shared" si="51"/>
        <v>0.5</v>
      </c>
      <c r="K236" s="113">
        <f t="shared" si="52"/>
        <v>7</v>
      </c>
      <c r="L236" s="113">
        <f t="shared" si="53"/>
        <v>7</v>
      </c>
      <c r="M236" s="110">
        <v>6</v>
      </c>
      <c r="N236" s="112">
        <f t="shared" si="54"/>
        <v>6</v>
      </c>
      <c r="O236" s="61">
        <v>437.36</v>
      </c>
      <c r="P236" s="21">
        <f t="shared" si="55"/>
        <v>2624.16</v>
      </c>
      <c r="Q236" s="128">
        <f t="shared" si="56"/>
        <v>1</v>
      </c>
      <c r="R236" s="128">
        <f t="shared" si="57"/>
        <v>1</v>
      </c>
    </row>
    <row r="237" spans="1:18" ht="14.5" x14ac:dyDescent="0.3">
      <c r="A237" s="62">
        <v>218</v>
      </c>
      <c r="B237" s="63">
        <v>10</v>
      </c>
      <c r="C237" s="64" t="s">
        <v>389</v>
      </c>
      <c r="D237" s="64" t="s">
        <v>390</v>
      </c>
      <c r="E237" s="65" t="s">
        <v>10</v>
      </c>
      <c r="F237" s="65">
        <v>3</v>
      </c>
      <c r="G237" s="110">
        <v>2</v>
      </c>
      <c r="H237" s="111">
        <v>2</v>
      </c>
      <c r="I237" s="110">
        <v>0.75</v>
      </c>
      <c r="J237" s="112">
        <f t="shared" si="51"/>
        <v>0.75</v>
      </c>
      <c r="K237" s="113">
        <f t="shared" si="52"/>
        <v>11</v>
      </c>
      <c r="L237" s="113">
        <f t="shared" si="53"/>
        <v>11</v>
      </c>
      <c r="M237" s="110">
        <v>9</v>
      </c>
      <c r="N237" s="112">
        <f t="shared" si="54"/>
        <v>9</v>
      </c>
      <c r="O237" s="61">
        <v>304.95999999999998</v>
      </c>
      <c r="P237" s="21">
        <f t="shared" si="55"/>
        <v>2744.64</v>
      </c>
      <c r="Q237" s="128">
        <f t="shared" si="56"/>
        <v>2</v>
      </c>
      <c r="R237" s="128">
        <f t="shared" si="57"/>
        <v>2</v>
      </c>
    </row>
    <row r="238" spans="1:18" ht="14.5" x14ac:dyDescent="0.3">
      <c r="A238" s="62">
        <v>219</v>
      </c>
      <c r="B238" s="63">
        <v>10</v>
      </c>
      <c r="C238" s="64" t="s">
        <v>391</v>
      </c>
      <c r="D238" s="64" t="s">
        <v>392</v>
      </c>
      <c r="E238" s="65" t="s">
        <v>6</v>
      </c>
      <c r="F238" s="65">
        <v>3</v>
      </c>
      <c r="G238" s="110">
        <v>0</v>
      </c>
      <c r="H238" s="111">
        <v>0</v>
      </c>
      <c r="I238" s="108">
        <v>0.25</v>
      </c>
      <c r="J238" s="109">
        <f t="shared" si="51"/>
        <v>0.25</v>
      </c>
      <c r="K238" s="113">
        <f t="shared" si="52"/>
        <v>3</v>
      </c>
      <c r="L238" s="113">
        <f t="shared" si="53"/>
        <v>3</v>
      </c>
      <c r="M238" s="110">
        <v>1</v>
      </c>
      <c r="N238" s="112">
        <f t="shared" si="54"/>
        <v>1</v>
      </c>
      <c r="O238" s="61">
        <v>1329.44</v>
      </c>
      <c r="P238" s="21">
        <f t="shared" si="55"/>
        <v>1329.44</v>
      </c>
      <c r="Q238" s="128">
        <f t="shared" si="56"/>
        <v>2</v>
      </c>
      <c r="R238" s="128">
        <f t="shared" si="57"/>
        <v>2</v>
      </c>
    </row>
    <row r="239" spans="1:18" ht="14.5" x14ac:dyDescent="0.3">
      <c r="A239" s="16">
        <v>220</v>
      </c>
      <c r="B239" s="17">
        <v>10</v>
      </c>
      <c r="C239" s="18" t="s">
        <v>393</v>
      </c>
      <c r="D239" s="19" t="s">
        <v>394</v>
      </c>
      <c r="E239" s="20" t="s">
        <v>10</v>
      </c>
      <c r="F239" s="20">
        <v>3</v>
      </c>
      <c r="G239" s="110">
        <v>0</v>
      </c>
      <c r="H239" s="111">
        <v>0</v>
      </c>
      <c r="I239" s="108">
        <v>0.25</v>
      </c>
      <c r="J239" s="109">
        <f t="shared" si="51"/>
        <v>0.25</v>
      </c>
      <c r="K239" s="113">
        <f t="shared" si="52"/>
        <v>3</v>
      </c>
      <c r="L239" s="113">
        <f t="shared" si="53"/>
        <v>3</v>
      </c>
      <c r="M239" s="110">
        <v>1</v>
      </c>
      <c r="N239" s="112">
        <f t="shared" si="54"/>
        <v>1</v>
      </c>
      <c r="O239" s="61">
        <v>3008.32</v>
      </c>
      <c r="P239" s="21">
        <f t="shared" si="55"/>
        <v>3008.32</v>
      </c>
      <c r="Q239" s="128">
        <f t="shared" si="56"/>
        <v>2</v>
      </c>
      <c r="R239" s="128">
        <f t="shared" si="57"/>
        <v>2</v>
      </c>
    </row>
    <row r="240" spans="1:18" ht="14.5" x14ac:dyDescent="0.3">
      <c r="A240" s="16">
        <v>221</v>
      </c>
      <c r="B240" s="17">
        <v>10</v>
      </c>
      <c r="C240" s="18" t="s">
        <v>395</v>
      </c>
      <c r="D240" s="19" t="s">
        <v>396</v>
      </c>
      <c r="E240" s="20" t="s">
        <v>6</v>
      </c>
      <c r="F240" s="20">
        <v>3</v>
      </c>
      <c r="G240" s="110">
        <v>0</v>
      </c>
      <c r="H240" s="111">
        <v>0</v>
      </c>
      <c r="I240" s="108">
        <v>0.25</v>
      </c>
      <c r="J240" s="109">
        <f t="shared" si="51"/>
        <v>0.25</v>
      </c>
      <c r="K240" s="113">
        <f t="shared" si="52"/>
        <v>3</v>
      </c>
      <c r="L240" s="113">
        <f t="shared" si="53"/>
        <v>3</v>
      </c>
      <c r="M240" s="110">
        <v>3</v>
      </c>
      <c r="N240" s="112">
        <f t="shared" si="54"/>
        <v>3</v>
      </c>
      <c r="O240" s="61">
        <v>792.79</v>
      </c>
      <c r="P240" s="21">
        <f t="shared" si="55"/>
        <v>2378.37</v>
      </c>
      <c r="Q240" s="128">
        <f t="shared" si="56"/>
        <v>0</v>
      </c>
      <c r="R240" s="128">
        <f t="shared" si="57"/>
        <v>0</v>
      </c>
    </row>
    <row r="241" spans="1:18" ht="26" x14ac:dyDescent="0.3">
      <c r="A241" s="16">
        <v>222</v>
      </c>
      <c r="B241" s="17">
        <v>10</v>
      </c>
      <c r="C241" s="18">
        <v>221</v>
      </c>
      <c r="D241" s="19" t="s">
        <v>406</v>
      </c>
      <c r="E241" s="20" t="s">
        <v>10</v>
      </c>
      <c r="F241" s="20">
        <v>3</v>
      </c>
      <c r="G241" s="110">
        <v>0</v>
      </c>
      <c r="H241" s="111">
        <v>0</v>
      </c>
      <c r="I241" s="108">
        <v>0.25</v>
      </c>
      <c r="J241" s="109">
        <f t="shared" si="51"/>
        <v>0.25</v>
      </c>
      <c r="K241" s="113">
        <f t="shared" si="52"/>
        <v>3</v>
      </c>
      <c r="L241" s="113">
        <f t="shared" si="53"/>
        <v>3</v>
      </c>
      <c r="M241" s="110">
        <v>1</v>
      </c>
      <c r="N241" s="112">
        <f t="shared" si="54"/>
        <v>1</v>
      </c>
      <c r="O241" s="61">
        <v>1500.8</v>
      </c>
      <c r="P241" s="21">
        <f t="shared" si="55"/>
        <v>1500.8</v>
      </c>
      <c r="Q241" s="128">
        <f t="shared" si="56"/>
        <v>2</v>
      </c>
      <c r="R241" s="128">
        <f t="shared" si="57"/>
        <v>2</v>
      </c>
    </row>
    <row r="242" spans="1:18" ht="14.5" x14ac:dyDescent="0.3">
      <c r="A242" s="62">
        <v>223</v>
      </c>
      <c r="B242" s="63">
        <v>10</v>
      </c>
      <c r="C242" s="64">
        <v>222</v>
      </c>
      <c r="D242" s="64" t="s">
        <v>407</v>
      </c>
      <c r="E242" s="65" t="s">
        <v>6</v>
      </c>
      <c r="F242" s="65">
        <v>3</v>
      </c>
      <c r="G242" s="110">
        <v>0</v>
      </c>
      <c r="H242" s="111">
        <v>0</v>
      </c>
      <c r="I242" s="108">
        <v>0.25</v>
      </c>
      <c r="J242" s="109">
        <f t="shared" si="51"/>
        <v>0.25</v>
      </c>
      <c r="K242" s="113">
        <f t="shared" si="52"/>
        <v>3</v>
      </c>
      <c r="L242" s="113">
        <f t="shared" si="53"/>
        <v>3</v>
      </c>
      <c r="M242" s="110">
        <v>1</v>
      </c>
      <c r="N242" s="112">
        <f t="shared" si="54"/>
        <v>1</v>
      </c>
      <c r="O242" s="61">
        <v>772.8</v>
      </c>
      <c r="P242" s="21">
        <f t="shared" si="55"/>
        <v>772.8</v>
      </c>
      <c r="Q242" s="128">
        <f t="shared" si="56"/>
        <v>2</v>
      </c>
      <c r="R242" s="128">
        <f t="shared" si="57"/>
        <v>2</v>
      </c>
    </row>
    <row r="243" spans="1:18" ht="14.5" x14ac:dyDescent="0.3">
      <c r="A243" s="62">
        <v>224</v>
      </c>
      <c r="B243" s="63">
        <v>10</v>
      </c>
      <c r="C243" s="64" t="s">
        <v>397</v>
      </c>
      <c r="D243" s="64" t="s">
        <v>398</v>
      </c>
      <c r="E243" s="65" t="s">
        <v>6</v>
      </c>
      <c r="F243" s="65">
        <v>3</v>
      </c>
      <c r="G243" s="110">
        <v>0</v>
      </c>
      <c r="H243" s="111">
        <v>0</v>
      </c>
      <c r="I243" s="108">
        <v>0.25</v>
      </c>
      <c r="J243" s="109">
        <f t="shared" si="51"/>
        <v>0.25</v>
      </c>
      <c r="K243" s="113">
        <f t="shared" si="52"/>
        <v>3</v>
      </c>
      <c r="L243" s="113">
        <f t="shared" si="53"/>
        <v>3</v>
      </c>
      <c r="M243" s="110">
        <v>1</v>
      </c>
      <c r="N243" s="112">
        <f t="shared" si="54"/>
        <v>1</v>
      </c>
      <c r="O243" s="61">
        <v>69.44</v>
      </c>
      <c r="P243" s="21">
        <f t="shared" si="55"/>
        <v>69.44</v>
      </c>
      <c r="Q243" s="128">
        <f t="shared" si="56"/>
        <v>2</v>
      </c>
      <c r="R243" s="128">
        <f t="shared" si="57"/>
        <v>2</v>
      </c>
    </row>
    <row r="244" spans="1:18" s="15" customFormat="1" ht="15" customHeight="1" x14ac:dyDescent="0.3">
      <c r="A244" s="254" t="s">
        <v>399</v>
      </c>
      <c r="B244" s="254"/>
      <c r="C244" s="254"/>
      <c r="D244" s="254"/>
      <c r="E244" s="254"/>
      <c r="F244" s="254"/>
      <c r="G244" s="12">
        <f>SUM(G245)</f>
        <v>20</v>
      </c>
      <c r="H244" s="12">
        <f t="shared" ref="H244" si="64">SUM(H245)</f>
        <v>20</v>
      </c>
      <c r="I244" s="12">
        <f t="shared" ref="I244" si="65">SUM(I245)</f>
        <v>8</v>
      </c>
      <c r="J244" s="12">
        <f t="shared" ref="J244" si="66">SUM(J245)</f>
        <v>8</v>
      </c>
      <c r="K244" s="12">
        <f t="shared" ref="K244" si="67">SUM(K245)</f>
        <v>116</v>
      </c>
      <c r="L244" s="12">
        <f t="shared" ref="L244" si="68">SUM(L245)</f>
        <v>116</v>
      </c>
      <c r="M244" s="12">
        <f t="shared" ref="M244" si="69">SUM(M245)</f>
        <v>96</v>
      </c>
      <c r="N244" s="12">
        <f t="shared" ref="N244" si="70">SUM(N245)</f>
        <v>96</v>
      </c>
      <c r="O244" s="1" t="s">
        <v>426</v>
      </c>
      <c r="P244" s="14">
        <f>SUM(P245:P245)</f>
        <v>528</v>
      </c>
      <c r="Q244" s="12">
        <f>SUM(Q245)</f>
        <v>20</v>
      </c>
      <c r="R244" s="12">
        <f t="shared" ref="R244" si="71">SUM(R245)</f>
        <v>20</v>
      </c>
    </row>
    <row r="245" spans="1:18" ht="14.5" x14ac:dyDescent="0.3">
      <c r="A245" s="16">
        <v>225</v>
      </c>
      <c r="B245" s="16">
        <v>11</v>
      </c>
      <c r="C245" s="19" t="s">
        <v>400</v>
      </c>
      <c r="D245" s="19" t="s">
        <v>401</v>
      </c>
      <c r="E245" s="20" t="s">
        <v>6</v>
      </c>
      <c r="F245" s="20">
        <v>2</v>
      </c>
      <c r="G245" s="110">
        <v>20</v>
      </c>
      <c r="H245" s="111">
        <v>20</v>
      </c>
      <c r="I245" s="110">
        <v>8</v>
      </c>
      <c r="J245" s="112">
        <f t="shared" si="51"/>
        <v>8</v>
      </c>
      <c r="K245" s="113">
        <f t="shared" si="52"/>
        <v>116</v>
      </c>
      <c r="L245" s="113">
        <f t="shared" si="53"/>
        <v>116</v>
      </c>
      <c r="M245" s="110">
        <v>96</v>
      </c>
      <c r="N245" s="112">
        <f t="shared" si="54"/>
        <v>96</v>
      </c>
      <c r="O245" s="61">
        <v>5.5</v>
      </c>
      <c r="P245" s="21">
        <f t="shared" si="55"/>
        <v>528</v>
      </c>
      <c r="Q245" s="128">
        <f t="shared" si="56"/>
        <v>20</v>
      </c>
      <c r="R245" s="128">
        <f t="shared" si="57"/>
        <v>20</v>
      </c>
    </row>
    <row r="246" spans="1:18" x14ac:dyDescent="0.3">
      <c r="G246" s="69"/>
      <c r="H246" s="69"/>
      <c r="I246" s="69"/>
      <c r="J246" s="69"/>
      <c r="K246" s="72"/>
      <c r="L246" s="69"/>
      <c r="M246" s="69"/>
      <c r="N246" s="69"/>
      <c r="O246" s="35"/>
      <c r="P246" s="35"/>
      <c r="Q246" s="69"/>
      <c r="R246" s="69"/>
    </row>
    <row r="247" spans="1:18" s="15" customFormat="1" ht="15" customHeight="1" x14ac:dyDescent="0.3">
      <c r="A247" s="254" t="s">
        <v>432</v>
      </c>
      <c r="B247" s="254"/>
      <c r="C247" s="254"/>
      <c r="D247" s="254"/>
      <c r="E247" s="254"/>
      <c r="F247" s="254"/>
      <c r="G247" s="12">
        <f>G7+G14+G16+G132+G158+G166+G181+G226+G229+G234+G244</f>
        <v>2255</v>
      </c>
      <c r="H247" s="12">
        <f t="shared" ref="H247:R247" si="72">H7+H14+H16+H132+H158+H166+H181+H226+H229+H234+H244</f>
        <v>2657</v>
      </c>
      <c r="I247" s="12">
        <f t="shared" si="72"/>
        <v>1334.4166666666665</v>
      </c>
      <c r="J247" s="12">
        <f t="shared" si="72"/>
        <v>1705.25</v>
      </c>
      <c r="K247" s="12">
        <f t="shared" si="72"/>
        <v>18268</v>
      </c>
      <c r="L247" s="12">
        <f t="shared" si="72"/>
        <v>23120</v>
      </c>
      <c r="M247" s="12">
        <f t="shared" si="72"/>
        <v>16013</v>
      </c>
      <c r="N247" s="12">
        <f>N7+N14+N16+N132+N158+N166+N181+N226+N229+N234+N244</f>
        <v>20472</v>
      </c>
      <c r="O247" s="12" t="s">
        <v>427</v>
      </c>
      <c r="P247" s="14">
        <f t="shared" si="72"/>
        <v>7775712.9779999992</v>
      </c>
      <c r="Q247" s="12">
        <f t="shared" si="72"/>
        <v>2255</v>
      </c>
      <c r="R247" s="12">
        <f t="shared" si="72"/>
        <v>2648</v>
      </c>
    </row>
    <row r="250" spans="1:18" x14ac:dyDescent="0.3">
      <c r="A250" s="194" t="s">
        <v>535</v>
      </c>
    </row>
    <row r="251" spans="1:18" x14ac:dyDescent="0.3">
      <c r="A251" s="195" t="s">
        <v>536</v>
      </c>
    </row>
    <row r="252" spans="1:18" x14ac:dyDescent="0.3">
      <c r="A252" s="195" t="s">
        <v>537</v>
      </c>
    </row>
    <row r="253" spans="1:18" x14ac:dyDescent="0.3">
      <c r="A253" s="195" t="s">
        <v>538</v>
      </c>
    </row>
    <row r="254" spans="1:18" ht="14.5" x14ac:dyDescent="0.3">
      <c r="A254" s="196" t="s">
        <v>539</v>
      </c>
    </row>
  </sheetData>
  <autoFilter ref="A6:R245" xr:uid="{2B4EC804-D0A9-4C63-8EAE-B0B40EA40E7C}"/>
  <mergeCells count="29">
    <mergeCell ref="A247:F247"/>
    <mergeCell ref="A1:R1"/>
    <mergeCell ref="A2:R2"/>
    <mergeCell ref="A3:R3"/>
    <mergeCell ref="K4:L4"/>
    <mergeCell ref="M4:N4"/>
    <mergeCell ref="O4:O5"/>
    <mergeCell ref="P4:P5"/>
    <mergeCell ref="Q4:R4"/>
    <mergeCell ref="A244:F244"/>
    <mergeCell ref="G4:H4"/>
    <mergeCell ref="A234:F234"/>
    <mergeCell ref="A226:F226"/>
    <mergeCell ref="A229:F229"/>
    <mergeCell ref="A158:F158"/>
    <mergeCell ref="A166:F166"/>
    <mergeCell ref="A181:F181"/>
    <mergeCell ref="A132:F132"/>
    <mergeCell ref="A114:F114"/>
    <mergeCell ref="A17:F17"/>
    <mergeCell ref="A88:F88"/>
    <mergeCell ref="I4:J4"/>
    <mergeCell ref="A7:F7"/>
    <mergeCell ref="A14:F14"/>
    <mergeCell ref="A16:F16"/>
    <mergeCell ref="F4:F5"/>
    <mergeCell ref="E4:E5"/>
    <mergeCell ref="D4:D5"/>
    <mergeCell ref="A4:C5"/>
  </mergeCells>
  <hyperlinks>
    <hyperlink ref="D230" r:id="rId1" display="http://www.eastin.eu/lv-lv/searches/Products/List?iso=180315" xr:uid="{5D919A42-29F5-40C3-8656-E129F10F0357}"/>
    <hyperlink ref="A254" r:id="rId2" display="mailto:Sandra.Strele@lm.gov.lv" xr:uid="{02DF2DB2-6E29-4CB3-AADE-F65F037B254E}"/>
  </hyperlinks>
  <pageMargins left="0.51181102362204722" right="0.51181102362204722" top="0.74803149606299213" bottom="0.74803149606299213" header="0.31496062992125984" footer="0.31496062992125984"/>
  <pageSetup scale="59" orientation="landscape" r:id="rId3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ADBD6-BF40-44B5-97EE-79F1C8E87A89}">
  <dimension ref="A1:Q254"/>
  <sheetViews>
    <sheetView zoomScale="80" zoomScaleNormal="80" workbookViewId="0">
      <pane xSplit="5" ySplit="6" topLeftCell="F7" activePane="bottomRight" state="frozen"/>
      <selection pane="topRight" activeCell="I1" sqref="I1"/>
      <selection pane="bottomLeft" activeCell="A6" sqref="A6"/>
      <selection pane="bottomRight" activeCell="T227" sqref="T227"/>
    </sheetView>
  </sheetViews>
  <sheetFormatPr defaultColWidth="8.90625" defaultRowHeight="13" x14ac:dyDescent="0.3"/>
  <cols>
    <col min="1" max="1" width="8.90625" style="30"/>
    <col min="2" max="2" width="6" style="30" customWidth="1"/>
    <col min="3" max="3" width="49.1796875" style="32" customWidth="1"/>
    <col min="4" max="4" width="10.90625" style="33" customWidth="1"/>
    <col min="5" max="5" width="9.36328125" style="34" customWidth="1"/>
    <col min="6" max="14" width="10.54296875" style="2" customWidth="1"/>
    <col min="15" max="15" width="15.1796875" style="2" customWidth="1"/>
    <col min="16" max="17" width="10.08984375" style="2" customWidth="1"/>
    <col min="18" max="16384" width="8.90625" style="2"/>
  </cols>
  <sheetData>
    <row r="1" spans="1:17" x14ac:dyDescent="0.3">
      <c r="A1" s="235" t="s">
        <v>528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x14ac:dyDescent="0.3">
      <c r="A2" s="235" t="s">
        <v>463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ht="15.5" x14ac:dyDescent="0.3">
      <c r="A3" s="236" t="s">
        <v>465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ht="31.75" customHeight="1" x14ac:dyDescent="0.3">
      <c r="A4" s="256" t="s">
        <v>0</v>
      </c>
      <c r="B4" s="256"/>
      <c r="C4" s="255" t="s">
        <v>1</v>
      </c>
      <c r="D4" s="255" t="s">
        <v>2</v>
      </c>
      <c r="E4" s="255" t="s">
        <v>3</v>
      </c>
      <c r="F4" s="253" t="s">
        <v>420</v>
      </c>
      <c r="G4" s="253"/>
      <c r="H4" s="253" t="s">
        <v>428</v>
      </c>
      <c r="I4" s="253"/>
      <c r="J4" s="253" t="s">
        <v>429</v>
      </c>
      <c r="K4" s="253"/>
      <c r="L4" s="253" t="s">
        <v>418</v>
      </c>
      <c r="M4" s="253"/>
      <c r="N4" s="259" t="s">
        <v>425</v>
      </c>
      <c r="O4" s="253" t="s">
        <v>430</v>
      </c>
      <c r="P4" s="253" t="s">
        <v>431</v>
      </c>
      <c r="Q4" s="253"/>
    </row>
    <row r="5" spans="1:17" ht="120" customHeight="1" x14ac:dyDescent="0.3">
      <c r="A5" s="256"/>
      <c r="B5" s="256"/>
      <c r="C5" s="255"/>
      <c r="D5" s="255"/>
      <c r="E5" s="255"/>
      <c r="F5" s="36" t="s">
        <v>474</v>
      </c>
      <c r="G5" s="36" t="s">
        <v>478</v>
      </c>
      <c r="H5" s="36" t="s">
        <v>475</v>
      </c>
      <c r="I5" s="5" t="s">
        <v>476</v>
      </c>
      <c r="J5" s="6" t="s">
        <v>421</v>
      </c>
      <c r="K5" s="6" t="s">
        <v>422</v>
      </c>
      <c r="L5" s="7" t="s">
        <v>423</v>
      </c>
      <c r="M5" s="6" t="s">
        <v>424</v>
      </c>
      <c r="N5" s="259"/>
      <c r="O5" s="253"/>
      <c r="P5" s="5" t="s">
        <v>474</v>
      </c>
      <c r="Q5" s="5" t="s">
        <v>477</v>
      </c>
    </row>
    <row r="6" spans="1:17" s="11" customFormat="1" ht="10.5" x14ac:dyDescent="0.25">
      <c r="A6" s="8">
        <v>1</v>
      </c>
      <c r="B6" s="8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</row>
    <row r="7" spans="1:17" s="15" customFormat="1" ht="15" customHeight="1" x14ac:dyDescent="0.3">
      <c r="A7" s="254" t="s">
        <v>402</v>
      </c>
      <c r="B7" s="254"/>
      <c r="C7" s="254"/>
      <c r="D7" s="254"/>
      <c r="E7" s="254"/>
      <c r="F7" s="12">
        <f t="shared" ref="F7:M7" si="0">SUM(F8:F13)</f>
        <v>80</v>
      </c>
      <c r="G7" s="12">
        <f t="shared" si="0"/>
        <v>80</v>
      </c>
      <c r="H7" s="12">
        <f>J7/12</f>
        <v>240.5</v>
      </c>
      <c r="I7" s="12">
        <f>K7/12</f>
        <v>240.58333333333334</v>
      </c>
      <c r="J7" s="12">
        <f>ROUND('2022.'!K7*1.025,0)</f>
        <v>2886</v>
      </c>
      <c r="K7" s="12">
        <f t="shared" si="0"/>
        <v>2887</v>
      </c>
      <c r="L7" s="12">
        <f t="shared" si="0"/>
        <v>2738</v>
      </c>
      <c r="M7" s="12">
        <f t="shared" si="0"/>
        <v>2738</v>
      </c>
      <c r="N7" s="13" t="s">
        <v>426</v>
      </c>
      <c r="O7" s="14">
        <f>SUM(O8:O13)</f>
        <v>1233647.3189999997</v>
      </c>
      <c r="P7" s="12">
        <f t="shared" ref="P7:Q7" si="1">SUM(P8:P13)</f>
        <v>149</v>
      </c>
      <c r="Q7" s="12">
        <f t="shared" si="1"/>
        <v>149</v>
      </c>
    </row>
    <row r="8" spans="1:17" ht="25.75" customHeight="1" x14ac:dyDescent="0.3">
      <c r="A8" s="16">
        <v>1</v>
      </c>
      <c r="B8" s="17">
        <v>1</v>
      </c>
      <c r="C8" s="19" t="s">
        <v>5</v>
      </c>
      <c r="D8" s="20" t="s">
        <v>6</v>
      </c>
      <c r="E8" s="20">
        <v>8</v>
      </c>
      <c r="F8" s="128">
        <f>'2022.'!Q8</f>
        <v>3</v>
      </c>
      <c r="G8" s="128">
        <f>'2022.'!R8</f>
        <v>3</v>
      </c>
      <c r="H8" s="128">
        <f t="shared" ref="H8:H71" si="2">J8/12</f>
        <v>0.58333333333333337</v>
      </c>
      <c r="I8" s="112">
        <f t="shared" ref="I8:I71" si="3">K8/12</f>
        <v>0.58333333333333337</v>
      </c>
      <c r="J8" s="112">
        <f>ROUND('2022.'!K8*1.025,0)</f>
        <v>7</v>
      </c>
      <c r="K8" s="112">
        <f>ROUND(IF(F8=0,J8,J8*(G8/F8)),0)</f>
        <v>7</v>
      </c>
      <c r="L8" s="110">
        <v>6</v>
      </c>
      <c r="M8" s="112">
        <f>ROUND(IF(F8=0,L8,L8*(G8/F8)),0)</f>
        <v>6</v>
      </c>
      <c r="N8" s="37">
        <f>'2022.'!O8*1.025</f>
        <v>647.47199999999987</v>
      </c>
      <c r="O8" s="21">
        <f t="shared" ref="O8:O71" si="4">N8*M8</f>
        <v>3884.8319999999994</v>
      </c>
      <c r="P8" s="128">
        <f t="shared" ref="P8:Q71" si="5">J8-L8</f>
        <v>1</v>
      </c>
      <c r="Q8" s="128">
        <f t="shared" si="5"/>
        <v>1</v>
      </c>
    </row>
    <row r="9" spans="1:17" ht="25.75" customHeight="1" x14ac:dyDescent="0.3">
      <c r="A9" s="16">
        <v>2</v>
      </c>
      <c r="B9" s="17">
        <v>1</v>
      </c>
      <c r="C9" s="19" t="s">
        <v>8</v>
      </c>
      <c r="D9" s="20" t="s">
        <v>6</v>
      </c>
      <c r="E9" s="20">
        <v>8</v>
      </c>
      <c r="F9" s="128">
        <f>'2022.'!Q9</f>
        <v>5</v>
      </c>
      <c r="G9" s="128">
        <f>'2022.'!R9</f>
        <v>5</v>
      </c>
      <c r="H9" s="128">
        <f t="shared" si="2"/>
        <v>26.083333333333332</v>
      </c>
      <c r="I9" s="112">
        <f t="shared" si="3"/>
        <v>26.083333333333332</v>
      </c>
      <c r="J9" s="112">
        <f>ROUND('2022.'!K9*1.025,0)</f>
        <v>313</v>
      </c>
      <c r="K9" s="112">
        <f t="shared" ref="K9:K15" si="6">ROUND(IF(F9=0,J9,J9*(G9/F9)),0)</f>
        <v>313</v>
      </c>
      <c r="L9" s="114">
        <v>300</v>
      </c>
      <c r="M9" s="112">
        <f t="shared" ref="M9:M15" si="7">ROUND(IF(F9=0,L9,L9*(G9/F9)),0)</f>
        <v>300</v>
      </c>
      <c r="N9" s="37">
        <f>'2022.'!O9*1.025</f>
        <v>833.20199999999988</v>
      </c>
      <c r="O9" s="21">
        <f t="shared" si="4"/>
        <v>249960.59999999998</v>
      </c>
      <c r="P9" s="128">
        <f t="shared" si="5"/>
        <v>13</v>
      </c>
      <c r="Q9" s="128">
        <f t="shared" si="5"/>
        <v>13</v>
      </c>
    </row>
    <row r="10" spans="1:17" ht="25.75" customHeight="1" x14ac:dyDescent="0.3">
      <c r="A10" s="16">
        <v>3</v>
      </c>
      <c r="B10" s="17">
        <v>1</v>
      </c>
      <c r="C10" s="23" t="s">
        <v>9</v>
      </c>
      <c r="D10" s="24" t="s">
        <v>10</v>
      </c>
      <c r="E10" s="24">
        <v>8</v>
      </c>
      <c r="F10" s="128">
        <f>'2022.'!Q10</f>
        <v>0</v>
      </c>
      <c r="G10" s="128">
        <f>'2022.'!R10</f>
        <v>0</v>
      </c>
      <c r="H10" s="128">
        <f t="shared" si="2"/>
        <v>85.416666666666671</v>
      </c>
      <c r="I10" s="112">
        <f t="shared" si="3"/>
        <v>85.416666666666671</v>
      </c>
      <c r="J10" s="112">
        <f>ROUND('2022.'!K10*1.025,0)</f>
        <v>1025</v>
      </c>
      <c r="K10" s="112">
        <f t="shared" si="6"/>
        <v>1025</v>
      </c>
      <c r="L10" s="110">
        <v>1000</v>
      </c>
      <c r="M10" s="112">
        <f t="shared" si="7"/>
        <v>1000</v>
      </c>
      <c r="N10" s="37">
        <f>'2022.'!O10*1.025</f>
        <v>860.11337499999991</v>
      </c>
      <c r="O10" s="21">
        <f t="shared" si="4"/>
        <v>860113.37499999988</v>
      </c>
      <c r="P10" s="128">
        <f t="shared" si="5"/>
        <v>25</v>
      </c>
      <c r="Q10" s="128">
        <f t="shared" si="5"/>
        <v>25</v>
      </c>
    </row>
    <row r="11" spans="1:17" ht="15" customHeight="1" x14ac:dyDescent="0.3">
      <c r="A11" s="92">
        <v>4</v>
      </c>
      <c r="B11" s="93">
        <v>1</v>
      </c>
      <c r="C11" s="94" t="s">
        <v>11</v>
      </c>
      <c r="D11" s="95" t="s">
        <v>10</v>
      </c>
      <c r="E11" s="95">
        <v>5</v>
      </c>
      <c r="F11" s="132">
        <f>'2022.'!Q11</f>
        <v>0</v>
      </c>
      <c r="G11" s="132">
        <f>'2022.'!R11</f>
        <v>0</v>
      </c>
      <c r="H11" s="128">
        <f t="shared" si="2"/>
        <v>85.416666666666671</v>
      </c>
      <c r="I11" s="112">
        <f t="shared" si="3"/>
        <v>85.416666666666671</v>
      </c>
      <c r="J11" s="124">
        <f>ROUND('2022.'!K11*1.025,0)</f>
        <v>1025</v>
      </c>
      <c r="K11" s="112">
        <f t="shared" si="6"/>
        <v>1025</v>
      </c>
      <c r="L11" s="122">
        <f>L10</f>
        <v>1000</v>
      </c>
      <c r="M11" s="112">
        <f t="shared" si="7"/>
        <v>1000</v>
      </c>
      <c r="N11" s="96">
        <f>'2022.'!O11*1.025</f>
        <v>41</v>
      </c>
      <c r="O11" s="85">
        <f t="shared" si="4"/>
        <v>41000</v>
      </c>
      <c r="P11" s="132">
        <f t="shared" si="5"/>
        <v>25</v>
      </c>
      <c r="Q11" s="132">
        <f t="shared" si="5"/>
        <v>25</v>
      </c>
    </row>
    <row r="12" spans="1:17" ht="15" customHeight="1" x14ac:dyDescent="0.3">
      <c r="A12" s="16">
        <v>5</v>
      </c>
      <c r="B12" s="17">
        <v>1</v>
      </c>
      <c r="C12" s="19" t="s">
        <v>13</v>
      </c>
      <c r="D12" s="20" t="s">
        <v>6</v>
      </c>
      <c r="E12" s="20">
        <v>2</v>
      </c>
      <c r="F12" s="128">
        <f>'2022.'!Q12</f>
        <v>32</v>
      </c>
      <c r="G12" s="128">
        <f>'2022.'!R12</f>
        <v>32</v>
      </c>
      <c r="H12" s="128">
        <f t="shared" si="2"/>
        <v>20.166666666666668</v>
      </c>
      <c r="I12" s="112">
        <f t="shared" si="3"/>
        <v>20.166666666666668</v>
      </c>
      <c r="J12" s="112">
        <f>ROUND('2022.'!K12*1.025,0)</f>
        <v>242</v>
      </c>
      <c r="K12" s="112">
        <f t="shared" si="6"/>
        <v>242</v>
      </c>
      <c r="L12" s="110">
        <v>204</v>
      </c>
      <c r="M12" s="112">
        <f t="shared" si="7"/>
        <v>204</v>
      </c>
      <c r="N12" s="37">
        <f>'2022.'!O12*1.025</f>
        <v>167.608</v>
      </c>
      <c r="O12" s="21">
        <f t="shared" si="4"/>
        <v>34192.031999999999</v>
      </c>
      <c r="P12" s="128">
        <f t="shared" si="5"/>
        <v>38</v>
      </c>
      <c r="Q12" s="128">
        <f t="shared" si="5"/>
        <v>38</v>
      </c>
    </row>
    <row r="13" spans="1:17" ht="15" customHeight="1" x14ac:dyDescent="0.3">
      <c r="A13" s="16">
        <v>6</v>
      </c>
      <c r="B13" s="17">
        <v>1</v>
      </c>
      <c r="C13" s="19" t="s">
        <v>14</v>
      </c>
      <c r="D13" s="20" t="s">
        <v>6</v>
      </c>
      <c r="E13" s="20">
        <v>5</v>
      </c>
      <c r="F13" s="128">
        <f>'2022.'!Q13</f>
        <v>40</v>
      </c>
      <c r="G13" s="128">
        <f>'2022.'!R13</f>
        <v>40</v>
      </c>
      <c r="H13" s="128">
        <f t="shared" si="2"/>
        <v>22.916666666666668</v>
      </c>
      <c r="I13" s="112">
        <f t="shared" si="3"/>
        <v>22.916666666666668</v>
      </c>
      <c r="J13" s="112">
        <f>ROUND('2022.'!K13*1.025,0)</f>
        <v>275</v>
      </c>
      <c r="K13" s="112">
        <f t="shared" si="6"/>
        <v>275</v>
      </c>
      <c r="L13" s="110">
        <v>228</v>
      </c>
      <c r="M13" s="112">
        <f t="shared" si="7"/>
        <v>228</v>
      </c>
      <c r="N13" s="37">
        <f>'2022.'!O13*1.025</f>
        <v>195.16</v>
      </c>
      <c r="O13" s="21">
        <f t="shared" si="4"/>
        <v>44496.479999999996</v>
      </c>
      <c r="P13" s="128">
        <f t="shared" si="5"/>
        <v>47</v>
      </c>
      <c r="Q13" s="128">
        <f t="shared" si="5"/>
        <v>47</v>
      </c>
    </row>
    <row r="14" spans="1:17" s="15" customFormat="1" ht="15" customHeight="1" x14ac:dyDescent="0.3">
      <c r="A14" s="254" t="s">
        <v>15</v>
      </c>
      <c r="B14" s="254"/>
      <c r="C14" s="254"/>
      <c r="D14" s="254"/>
      <c r="E14" s="254"/>
      <c r="F14" s="12">
        <f t="shared" ref="F14:M14" si="8">SUM(F15)</f>
        <v>5</v>
      </c>
      <c r="G14" s="12">
        <f t="shared" si="8"/>
        <v>5</v>
      </c>
      <c r="H14" s="12">
        <f t="shared" si="2"/>
        <v>2.5</v>
      </c>
      <c r="I14" s="12">
        <f t="shared" si="3"/>
        <v>2.5</v>
      </c>
      <c r="J14" s="12">
        <f>ROUND('2022.'!K14*1.025,0)</f>
        <v>30</v>
      </c>
      <c r="K14" s="12">
        <f t="shared" si="8"/>
        <v>30</v>
      </c>
      <c r="L14" s="12">
        <f t="shared" ref="L14" si="9">SUM(L15)</f>
        <v>24</v>
      </c>
      <c r="M14" s="12">
        <f t="shared" si="8"/>
        <v>24</v>
      </c>
      <c r="N14" s="13" t="s">
        <v>426</v>
      </c>
      <c r="O14" s="14">
        <f>SUM(O15:O15)</f>
        <v>67667.711999999985</v>
      </c>
      <c r="P14" s="12">
        <f>SUM(P15)</f>
        <v>6</v>
      </c>
      <c r="Q14" s="12">
        <f t="shared" ref="Q14" si="10">SUM(Q15)</f>
        <v>6</v>
      </c>
    </row>
    <row r="15" spans="1:17" ht="15" customHeight="1" x14ac:dyDescent="0.3">
      <c r="A15" s="16">
        <v>7</v>
      </c>
      <c r="B15" s="17">
        <v>2</v>
      </c>
      <c r="C15" s="19" t="s">
        <v>17</v>
      </c>
      <c r="D15" s="20" t="s">
        <v>10</v>
      </c>
      <c r="E15" s="20">
        <v>3</v>
      </c>
      <c r="F15" s="128">
        <f>'2022.'!Q15</f>
        <v>5</v>
      </c>
      <c r="G15" s="128">
        <f>'2022.'!R15</f>
        <v>5</v>
      </c>
      <c r="H15" s="128">
        <f t="shared" si="2"/>
        <v>2.5</v>
      </c>
      <c r="I15" s="112">
        <f t="shared" si="3"/>
        <v>2.5</v>
      </c>
      <c r="J15" s="112">
        <f>ROUND('2022.'!K15*1.025,0)</f>
        <v>30</v>
      </c>
      <c r="K15" s="112">
        <f t="shared" si="6"/>
        <v>30</v>
      </c>
      <c r="L15" s="110">
        <v>24</v>
      </c>
      <c r="M15" s="112">
        <f t="shared" si="7"/>
        <v>24</v>
      </c>
      <c r="N15" s="37">
        <f>'2022.'!O15*1.025</f>
        <v>2819.4879999999994</v>
      </c>
      <c r="O15" s="21">
        <f t="shared" si="4"/>
        <v>67667.711999999985</v>
      </c>
      <c r="P15" s="128">
        <f t="shared" si="5"/>
        <v>6</v>
      </c>
      <c r="Q15" s="128">
        <f t="shared" si="5"/>
        <v>6</v>
      </c>
    </row>
    <row r="16" spans="1:17" s="15" customFormat="1" ht="15" customHeight="1" x14ac:dyDescent="0.3">
      <c r="A16" s="254" t="s">
        <v>18</v>
      </c>
      <c r="B16" s="254"/>
      <c r="C16" s="254"/>
      <c r="D16" s="254"/>
      <c r="E16" s="254"/>
      <c r="F16" s="12">
        <f t="shared" ref="F16:M16" si="11">F17+F88+F114</f>
        <v>386</v>
      </c>
      <c r="G16" s="12">
        <f t="shared" si="11"/>
        <v>520</v>
      </c>
      <c r="H16" s="12">
        <f t="shared" si="2"/>
        <v>418.25</v>
      </c>
      <c r="I16" s="12">
        <f t="shared" si="3"/>
        <v>567.66666666666663</v>
      </c>
      <c r="J16" s="12">
        <f>ROUND('2022.'!K16*1.025,0)</f>
        <v>5019</v>
      </c>
      <c r="K16" s="12">
        <f t="shared" si="11"/>
        <v>6812</v>
      </c>
      <c r="L16" s="12">
        <f t="shared" si="11"/>
        <v>4593</v>
      </c>
      <c r="M16" s="12">
        <f t="shared" si="11"/>
        <v>6227</v>
      </c>
      <c r="N16" s="13" t="s">
        <v>426</v>
      </c>
      <c r="O16" s="14">
        <f t="shared" ref="O16:Q16" si="12">O17+O88+O114</f>
        <v>1886775.64081875</v>
      </c>
      <c r="P16" s="12">
        <f t="shared" si="12"/>
        <v>416</v>
      </c>
      <c r="Q16" s="12">
        <f t="shared" si="12"/>
        <v>585</v>
      </c>
    </row>
    <row r="17" spans="1:17" s="15" customFormat="1" ht="15" customHeight="1" x14ac:dyDescent="0.3">
      <c r="A17" s="257" t="s">
        <v>403</v>
      </c>
      <c r="B17" s="257"/>
      <c r="C17" s="257"/>
      <c r="D17" s="257"/>
      <c r="E17" s="257"/>
      <c r="F17" s="126">
        <f t="shared" ref="F17:M17" si="13">SUM(F18:F87)</f>
        <v>135</v>
      </c>
      <c r="G17" s="126">
        <f t="shared" si="13"/>
        <v>159</v>
      </c>
      <c r="H17" s="126">
        <f t="shared" si="2"/>
        <v>138.25</v>
      </c>
      <c r="I17" s="126">
        <f t="shared" si="3"/>
        <v>166</v>
      </c>
      <c r="J17" s="126">
        <f>ROUND('2022.'!K17*1.025,0)</f>
        <v>1659</v>
      </c>
      <c r="K17" s="126">
        <f t="shared" si="13"/>
        <v>1992</v>
      </c>
      <c r="L17" s="126">
        <f t="shared" ref="L17" si="14">SUM(L18:L87)</f>
        <v>1539</v>
      </c>
      <c r="M17" s="126">
        <f t="shared" si="13"/>
        <v>1853</v>
      </c>
      <c r="N17" s="38" t="s">
        <v>426</v>
      </c>
      <c r="O17" s="25">
        <f t="shared" ref="O17:Q17" si="15">SUM(O18:O87)</f>
        <v>1081782.8282812501</v>
      </c>
      <c r="P17" s="126">
        <f t="shared" si="15"/>
        <v>114</v>
      </c>
      <c r="Q17" s="126">
        <f t="shared" si="15"/>
        <v>139</v>
      </c>
    </row>
    <row r="18" spans="1:17" ht="15" customHeight="1" x14ac:dyDescent="0.3">
      <c r="A18" s="16">
        <v>8</v>
      </c>
      <c r="B18" s="17" t="s">
        <v>408</v>
      </c>
      <c r="C18" s="26" t="s">
        <v>20</v>
      </c>
      <c r="D18" s="27" t="s">
        <v>6</v>
      </c>
      <c r="E18" s="27">
        <v>2</v>
      </c>
      <c r="F18" s="128">
        <f>'2022.'!Q18</f>
        <v>2</v>
      </c>
      <c r="G18" s="128">
        <f>'2022.'!R18</f>
        <v>2</v>
      </c>
      <c r="H18" s="127">
        <f t="shared" si="2"/>
        <v>0.33333333333333331</v>
      </c>
      <c r="I18" s="109">
        <f t="shared" si="3"/>
        <v>0.33333333333333331</v>
      </c>
      <c r="J18" s="112">
        <f>ROUND('2022.'!K18*1.025,0)</f>
        <v>4</v>
      </c>
      <c r="K18" s="112">
        <f t="shared" ref="K18:K81" si="16">ROUND(IF(F18=0,J18,J18*(G18/F18)),0)</f>
        <v>4</v>
      </c>
      <c r="L18" s="110">
        <v>3</v>
      </c>
      <c r="M18" s="112">
        <f t="shared" ref="M18:M81" si="17">ROUND(IF(F18=0,L18,L18*(G18/F18)),0)</f>
        <v>3</v>
      </c>
      <c r="N18" s="37">
        <f>'2022.'!O18*1.025</f>
        <v>135.73203749999996</v>
      </c>
      <c r="O18" s="21">
        <f t="shared" si="4"/>
        <v>407.19611249999991</v>
      </c>
      <c r="P18" s="128">
        <f t="shared" si="5"/>
        <v>1</v>
      </c>
      <c r="Q18" s="128">
        <f t="shared" si="5"/>
        <v>1</v>
      </c>
    </row>
    <row r="19" spans="1:17" ht="15" customHeight="1" x14ac:dyDescent="0.3">
      <c r="A19" s="16">
        <v>9</v>
      </c>
      <c r="B19" s="17" t="s">
        <v>408</v>
      </c>
      <c r="C19" s="26" t="s">
        <v>22</v>
      </c>
      <c r="D19" s="27" t="s">
        <v>6</v>
      </c>
      <c r="E19" s="27">
        <v>2</v>
      </c>
      <c r="F19" s="128">
        <f>'2022.'!Q19</f>
        <v>1</v>
      </c>
      <c r="G19" s="128">
        <f>'2022.'!R19</f>
        <v>1</v>
      </c>
      <c r="H19" s="128">
        <f t="shared" si="2"/>
        <v>0.58333333333333337</v>
      </c>
      <c r="I19" s="112">
        <f t="shared" si="3"/>
        <v>0.58333333333333337</v>
      </c>
      <c r="J19" s="112">
        <f>ROUND('2022.'!K19*1.025,0)</f>
        <v>7</v>
      </c>
      <c r="K19" s="112">
        <f t="shared" si="16"/>
        <v>7</v>
      </c>
      <c r="L19" s="110">
        <v>6</v>
      </c>
      <c r="M19" s="112">
        <f t="shared" si="17"/>
        <v>6</v>
      </c>
      <c r="N19" s="37">
        <f>'2022.'!O19*1.025</f>
        <v>257.54585624999993</v>
      </c>
      <c r="O19" s="21">
        <f t="shared" si="4"/>
        <v>1545.2751374999996</v>
      </c>
      <c r="P19" s="128">
        <f t="shared" si="5"/>
        <v>1</v>
      </c>
      <c r="Q19" s="128">
        <f t="shared" si="5"/>
        <v>1</v>
      </c>
    </row>
    <row r="20" spans="1:17" ht="15" customHeight="1" x14ac:dyDescent="0.3">
      <c r="A20" s="16">
        <v>10</v>
      </c>
      <c r="B20" s="17" t="s">
        <v>408</v>
      </c>
      <c r="C20" s="26" t="s">
        <v>24</v>
      </c>
      <c r="D20" s="27" t="s">
        <v>6</v>
      </c>
      <c r="E20" s="27">
        <v>2</v>
      </c>
      <c r="F20" s="128">
        <f>'2022.'!Q20</f>
        <v>5</v>
      </c>
      <c r="G20" s="128">
        <f>'2022.'!R20</f>
        <v>5</v>
      </c>
      <c r="H20" s="128">
        <f t="shared" si="2"/>
        <v>3.9166666666666665</v>
      </c>
      <c r="I20" s="112">
        <f t="shared" si="3"/>
        <v>3.9166666666666665</v>
      </c>
      <c r="J20" s="112">
        <f>ROUND('2022.'!K20*1.025,0)</f>
        <v>47</v>
      </c>
      <c r="K20" s="112">
        <f t="shared" si="16"/>
        <v>47</v>
      </c>
      <c r="L20" s="110">
        <v>42</v>
      </c>
      <c r="M20" s="112">
        <f t="shared" si="17"/>
        <v>42</v>
      </c>
      <c r="N20" s="37">
        <f>'2022.'!O20*1.025</f>
        <v>425.21791874999997</v>
      </c>
      <c r="O20" s="21">
        <f t="shared" si="4"/>
        <v>17859.152587499997</v>
      </c>
      <c r="P20" s="128">
        <f t="shared" si="5"/>
        <v>5</v>
      </c>
      <c r="Q20" s="128">
        <f t="shared" si="5"/>
        <v>5</v>
      </c>
    </row>
    <row r="21" spans="1:17" ht="27.65" customHeight="1" x14ac:dyDescent="0.3">
      <c r="A21" s="16">
        <v>11</v>
      </c>
      <c r="B21" s="17" t="s">
        <v>408</v>
      </c>
      <c r="C21" s="26" t="s">
        <v>25</v>
      </c>
      <c r="D21" s="27" t="s">
        <v>6</v>
      </c>
      <c r="E21" s="27">
        <v>2</v>
      </c>
      <c r="F21" s="128">
        <f>'2022.'!Q21</f>
        <v>0</v>
      </c>
      <c r="G21" s="128">
        <f>'2022.'!R21</f>
        <v>0</v>
      </c>
      <c r="H21" s="128">
        <f t="shared" si="2"/>
        <v>0.5</v>
      </c>
      <c r="I21" s="112">
        <f t="shared" si="3"/>
        <v>0.5</v>
      </c>
      <c r="J21" s="112">
        <f>ROUND('2022.'!K21*1.025,0)</f>
        <v>6</v>
      </c>
      <c r="K21" s="112">
        <f t="shared" si="16"/>
        <v>6</v>
      </c>
      <c r="L21" s="110">
        <v>6</v>
      </c>
      <c r="M21" s="112">
        <f t="shared" si="17"/>
        <v>6</v>
      </c>
      <c r="N21" s="37">
        <f>'2022.'!O21*1.025</f>
        <v>490.56166874999997</v>
      </c>
      <c r="O21" s="21">
        <f t="shared" si="4"/>
        <v>2943.3700124999996</v>
      </c>
      <c r="P21" s="128">
        <f t="shared" si="5"/>
        <v>0</v>
      </c>
      <c r="Q21" s="128">
        <f t="shared" si="5"/>
        <v>0</v>
      </c>
    </row>
    <row r="22" spans="1:17" ht="54.65" customHeight="1" x14ac:dyDescent="0.3">
      <c r="A22" s="16">
        <v>12</v>
      </c>
      <c r="B22" s="17" t="s">
        <v>408</v>
      </c>
      <c r="C22" s="26" t="s">
        <v>26</v>
      </c>
      <c r="D22" s="27" t="s">
        <v>6</v>
      </c>
      <c r="E22" s="27">
        <v>1</v>
      </c>
      <c r="F22" s="128">
        <f>'2022.'!Q22</f>
        <v>0</v>
      </c>
      <c r="G22" s="128">
        <f>'2022.'!R22</f>
        <v>0</v>
      </c>
      <c r="H22" s="128">
        <f t="shared" si="2"/>
        <v>4.083333333333333</v>
      </c>
      <c r="I22" s="112">
        <f t="shared" si="3"/>
        <v>4.083333333333333</v>
      </c>
      <c r="J22" s="112">
        <f>ROUND('2022.'!K22*1.025,0)</f>
        <v>49</v>
      </c>
      <c r="K22" s="112">
        <f t="shared" si="16"/>
        <v>49</v>
      </c>
      <c r="L22" s="110">
        <v>49</v>
      </c>
      <c r="M22" s="112">
        <f t="shared" si="17"/>
        <v>49</v>
      </c>
      <c r="N22" s="37">
        <f>'2022.'!O22*1.025</f>
        <v>1218.0074999999999</v>
      </c>
      <c r="O22" s="21">
        <f t="shared" si="4"/>
        <v>59682.3675</v>
      </c>
      <c r="P22" s="128">
        <f t="shared" si="5"/>
        <v>0</v>
      </c>
      <c r="Q22" s="128">
        <f t="shared" si="5"/>
        <v>0</v>
      </c>
    </row>
    <row r="23" spans="1:17" ht="27.65" customHeight="1" x14ac:dyDescent="0.3">
      <c r="A23" s="16">
        <v>13</v>
      </c>
      <c r="B23" s="17" t="s">
        <v>408</v>
      </c>
      <c r="C23" s="26" t="s">
        <v>27</v>
      </c>
      <c r="D23" s="27" t="s">
        <v>6</v>
      </c>
      <c r="E23" s="27">
        <v>1</v>
      </c>
      <c r="F23" s="128">
        <f>'2022.'!Q23</f>
        <v>0</v>
      </c>
      <c r="G23" s="128">
        <f>'2022.'!R23</f>
        <v>0</v>
      </c>
      <c r="H23" s="128">
        <f t="shared" si="2"/>
        <v>4.083333333333333</v>
      </c>
      <c r="I23" s="112">
        <f t="shared" si="3"/>
        <v>4.083333333333333</v>
      </c>
      <c r="J23" s="112">
        <f>ROUND('2022.'!K23*1.025,0)</f>
        <v>49</v>
      </c>
      <c r="K23" s="112">
        <f t="shared" si="16"/>
        <v>49</v>
      </c>
      <c r="L23" s="110">
        <v>49</v>
      </c>
      <c r="M23" s="112">
        <f t="shared" si="17"/>
        <v>49</v>
      </c>
      <c r="N23" s="37">
        <f>'2022.'!O23*1.025</f>
        <v>1284.0961687499998</v>
      </c>
      <c r="O23" s="21">
        <f t="shared" si="4"/>
        <v>62920.712268749994</v>
      </c>
      <c r="P23" s="128">
        <f t="shared" si="5"/>
        <v>0</v>
      </c>
      <c r="Q23" s="128">
        <f t="shared" si="5"/>
        <v>0</v>
      </c>
    </row>
    <row r="24" spans="1:17" ht="27.65" customHeight="1" x14ac:dyDescent="0.3">
      <c r="A24" s="16">
        <v>14</v>
      </c>
      <c r="B24" s="17" t="s">
        <v>408</v>
      </c>
      <c r="C24" s="26" t="s">
        <v>412</v>
      </c>
      <c r="D24" s="27" t="s">
        <v>6</v>
      </c>
      <c r="E24" s="27">
        <v>1</v>
      </c>
      <c r="F24" s="128">
        <f>'2022.'!Q24</f>
        <v>14</v>
      </c>
      <c r="G24" s="128">
        <f>'2022.'!R24</f>
        <v>14</v>
      </c>
      <c r="H24" s="128">
        <f t="shared" si="2"/>
        <v>7.333333333333333</v>
      </c>
      <c r="I24" s="112">
        <f t="shared" si="3"/>
        <v>7.333333333333333</v>
      </c>
      <c r="J24" s="112">
        <f>ROUND('2022.'!K24*1.025,0)</f>
        <v>88</v>
      </c>
      <c r="K24" s="112">
        <f t="shared" si="16"/>
        <v>88</v>
      </c>
      <c r="L24" s="110">
        <v>74</v>
      </c>
      <c r="M24" s="112">
        <f t="shared" si="17"/>
        <v>74</v>
      </c>
      <c r="N24" s="37">
        <f>'2022.'!O24*1.025</f>
        <v>1328.7912937499996</v>
      </c>
      <c r="O24" s="21">
        <f t="shared" si="4"/>
        <v>98330.555737499963</v>
      </c>
      <c r="P24" s="128">
        <f t="shared" si="5"/>
        <v>14</v>
      </c>
      <c r="Q24" s="128">
        <f t="shared" si="5"/>
        <v>14</v>
      </c>
    </row>
    <row r="25" spans="1:17" ht="27.65" customHeight="1" x14ac:dyDescent="0.3">
      <c r="A25" s="16">
        <v>15</v>
      </c>
      <c r="B25" s="17" t="s">
        <v>408</v>
      </c>
      <c r="C25" s="26" t="s">
        <v>30</v>
      </c>
      <c r="D25" s="27" t="s">
        <v>6</v>
      </c>
      <c r="E25" s="27">
        <v>2</v>
      </c>
      <c r="F25" s="128">
        <f>'2022.'!Q25</f>
        <v>0</v>
      </c>
      <c r="G25" s="128">
        <f>'2022.'!R25</f>
        <v>0</v>
      </c>
      <c r="H25" s="128">
        <f t="shared" si="2"/>
        <v>0.5</v>
      </c>
      <c r="I25" s="112">
        <f t="shared" si="3"/>
        <v>0.5</v>
      </c>
      <c r="J25" s="112">
        <f>ROUND('2022.'!K25*1.025,0)</f>
        <v>6</v>
      </c>
      <c r="K25" s="112">
        <f t="shared" si="16"/>
        <v>6</v>
      </c>
      <c r="L25" s="110">
        <v>6</v>
      </c>
      <c r="M25" s="112">
        <f t="shared" si="17"/>
        <v>6</v>
      </c>
      <c r="N25" s="37">
        <f>'2022.'!O25*1.025</f>
        <v>425.21791874999997</v>
      </c>
      <c r="O25" s="21">
        <f t="shared" si="4"/>
        <v>2551.3075124999996</v>
      </c>
      <c r="P25" s="128">
        <f t="shared" si="5"/>
        <v>0</v>
      </c>
      <c r="Q25" s="128">
        <f t="shared" si="5"/>
        <v>0</v>
      </c>
    </row>
    <row r="26" spans="1:17" ht="15" customHeight="1" x14ac:dyDescent="0.3">
      <c r="A26" s="16">
        <v>16</v>
      </c>
      <c r="B26" s="17" t="s">
        <v>408</v>
      </c>
      <c r="C26" s="26" t="s">
        <v>31</v>
      </c>
      <c r="D26" s="27" t="s">
        <v>6</v>
      </c>
      <c r="E26" s="27">
        <v>2</v>
      </c>
      <c r="F26" s="128">
        <f>'2022.'!Q26</f>
        <v>0</v>
      </c>
      <c r="G26" s="128">
        <f>'2022.'!R26</f>
        <v>0</v>
      </c>
      <c r="H26" s="128">
        <f t="shared" si="2"/>
        <v>1</v>
      </c>
      <c r="I26" s="112">
        <f t="shared" si="3"/>
        <v>1</v>
      </c>
      <c r="J26" s="112">
        <f>ROUND('2022.'!K26*1.025,0)</f>
        <v>12</v>
      </c>
      <c r="K26" s="112">
        <f t="shared" si="16"/>
        <v>12</v>
      </c>
      <c r="L26" s="110">
        <v>12</v>
      </c>
      <c r="M26" s="112">
        <f t="shared" si="17"/>
        <v>12</v>
      </c>
      <c r="N26" s="37">
        <f>'2022.'!O26*1.025</f>
        <v>5508.3212999999996</v>
      </c>
      <c r="O26" s="21">
        <f t="shared" si="4"/>
        <v>66099.855599999995</v>
      </c>
      <c r="P26" s="128">
        <f t="shared" si="5"/>
        <v>0</v>
      </c>
      <c r="Q26" s="128">
        <f t="shared" si="5"/>
        <v>0</v>
      </c>
    </row>
    <row r="27" spans="1:17" ht="15" customHeight="1" x14ac:dyDescent="0.3">
      <c r="A27" s="16">
        <v>17</v>
      </c>
      <c r="B27" s="17" t="s">
        <v>408</v>
      </c>
      <c r="C27" s="26" t="s">
        <v>32</v>
      </c>
      <c r="D27" s="27" t="s">
        <v>6</v>
      </c>
      <c r="E27" s="27">
        <v>2</v>
      </c>
      <c r="F27" s="128">
        <f>'2022.'!Q27</f>
        <v>0</v>
      </c>
      <c r="G27" s="128">
        <f>'2022.'!R27</f>
        <v>0</v>
      </c>
      <c r="H27" s="128">
        <f t="shared" si="2"/>
        <v>0.5</v>
      </c>
      <c r="I27" s="112">
        <f t="shared" si="3"/>
        <v>0.5</v>
      </c>
      <c r="J27" s="112">
        <f>ROUND('2022.'!K27*1.025,0)</f>
        <v>6</v>
      </c>
      <c r="K27" s="112">
        <f t="shared" si="16"/>
        <v>6</v>
      </c>
      <c r="L27" s="110">
        <v>6</v>
      </c>
      <c r="M27" s="112">
        <f t="shared" si="17"/>
        <v>6</v>
      </c>
      <c r="N27" s="37">
        <f>'2022.'!O27*1.025</f>
        <v>6334.5717499999992</v>
      </c>
      <c r="O27" s="21">
        <f t="shared" si="4"/>
        <v>38007.430499999995</v>
      </c>
      <c r="P27" s="128">
        <f t="shared" si="5"/>
        <v>0</v>
      </c>
      <c r="Q27" s="128">
        <f t="shared" si="5"/>
        <v>0</v>
      </c>
    </row>
    <row r="28" spans="1:17" ht="15" customHeight="1" x14ac:dyDescent="0.3">
      <c r="A28" s="16">
        <v>18</v>
      </c>
      <c r="B28" s="17" t="s">
        <v>408</v>
      </c>
      <c r="C28" s="26" t="s">
        <v>33</v>
      </c>
      <c r="D28" s="27" t="s">
        <v>6</v>
      </c>
      <c r="E28" s="27">
        <v>1</v>
      </c>
      <c r="F28" s="128">
        <f>'2022.'!Q28</f>
        <v>0</v>
      </c>
      <c r="G28" s="128">
        <f>'2022.'!R28</f>
        <v>0</v>
      </c>
      <c r="H28" s="128">
        <f t="shared" si="2"/>
        <v>0.5</v>
      </c>
      <c r="I28" s="112">
        <f t="shared" si="3"/>
        <v>0.5</v>
      </c>
      <c r="J28" s="112">
        <f>ROUND('2022.'!K28*1.025,0)</f>
        <v>6</v>
      </c>
      <c r="K28" s="112">
        <f t="shared" si="16"/>
        <v>6</v>
      </c>
      <c r="L28" s="110">
        <v>6</v>
      </c>
      <c r="M28" s="112">
        <f t="shared" si="17"/>
        <v>6</v>
      </c>
      <c r="N28" s="37">
        <f>'2022.'!O28*1.025</f>
        <v>1595.9949562499996</v>
      </c>
      <c r="O28" s="21">
        <f t="shared" si="4"/>
        <v>9575.9697374999978</v>
      </c>
      <c r="P28" s="128">
        <f t="shared" si="5"/>
        <v>0</v>
      </c>
      <c r="Q28" s="128">
        <f t="shared" si="5"/>
        <v>0</v>
      </c>
    </row>
    <row r="29" spans="1:17" ht="15" customHeight="1" x14ac:dyDescent="0.3">
      <c r="A29" s="16">
        <v>19</v>
      </c>
      <c r="B29" s="17" t="s">
        <v>408</v>
      </c>
      <c r="C29" s="26" t="s">
        <v>34</v>
      </c>
      <c r="D29" s="27" t="s">
        <v>6</v>
      </c>
      <c r="E29" s="27">
        <v>1</v>
      </c>
      <c r="F29" s="128">
        <f>'2022.'!Q29</f>
        <v>0</v>
      </c>
      <c r="G29" s="128">
        <f>'2022.'!R29</f>
        <v>0</v>
      </c>
      <c r="H29" s="128">
        <f t="shared" si="2"/>
        <v>0.5</v>
      </c>
      <c r="I29" s="112">
        <f t="shared" si="3"/>
        <v>0.5</v>
      </c>
      <c r="J29" s="112">
        <f>ROUND('2022.'!K29*1.025,0)</f>
        <v>6</v>
      </c>
      <c r="K29" s="112">
        <f t="shared" si="16"/>
        <v>6</v>
      </c>
      <c r="L29" s="110">
        <v>6</v>
      </c>
      <c r="M29" s="112">
        <f t="shared" si="17"/>
        <v>6</v>
      </c>
      <c r="N29" s="37">
        <f>'2022.'!O29*1.025</f>
        <v>1915.1919999999998</v>
      </c>
      <c r="O29" s="21">
        <f t="shared" si="4"/>
        <v>11491.151999999998</v>
      </c>
      <c r="P29" s="128">
        <f t="shared" si="5"/>
        <v>0</v>
      </c>
      <c r="Q29" s="128">
        <f t="shared" si="5"/>
        <v>0</v>
      </c>
    </row>
    <row r="30" spans="1:17" ht="15" customHeight="1" x14ac:dyDescent="0.3">
      <c r="A30" s="16">
        <v>20</v>
      </c>
      <c r="B30" s="17" t="s">
        <v>408</v>
      </c>
      <c r="C30" s="26" t="s">
        <v>35</v>
      </c>
      <c r="D30" s="27" t="s">
        <v>6</v>
      </c>
      <c r="E30" s="27">
        <v>1</v>
      </c>
      <c r="F30" s="128">
        <f>'2022.'!Q30</f>
        <v>0</v>
      </c>
      <c r="G30" s="128">
        <f>'2022.'!R30</f>
        <v>0</v>
      </c>
      <c r="H30" s="128">
        <f t="shared" si="2"/>
        <v>0.5</v>
      </c>
      <c r="I30" s="112">
        <f t="shared" si="3"/>
        <v>0.5</v>
      </c>
      <c r="J30" s="112">
        <f>ROUND('2022.'!K30*1.025,0)</f>
        <v>6</v>
      </c>
      <c r="K30" s="112">
        <f t="shared" si="16"/>
        <v>6</v>
      </c>
      <c r="L30" s="110">
        <v>6</v>
      </c>
      <c r="M30" s="112">
        <f t="shared" si="17"/>
        <v>6</v>
      </c>
      <c r="N30" s="37">
        <f>'2022.'!O30*1.025</f>
        <v>2898.8970562499999</v>
      </c>
      <c r="O30" s="21">
        <f t="shared" si="4"/>
        <v>17393.382337499999</v>
      </c>
      <c r="P30" s="128">
        <f t="shared" si="5"/>
        <v>0</v>
      </c>
      <c r="Q30" s="128">
        <f t="shared" si="5"/>
        <v>0</v>
      </c>
    </row>
    <row r="31" spans="1:17" ht="15" customHeight="1" x14ac:dyDescent="0.3">
      <c r="A31" s="16">
        <v>21</v>
      </c>
      <c r="B31" s="17" t="s">
        <v>408</v>
      </c>
      <c r="C31" s="26" t="s">
        <v>36</v>
      </c>
      <c r="D31" s="27" t="s">
        <v>6</v>
      </c>
      <c r="E31" s="27">
        <v>1</v>
      </c>
      <c r="F31" s="128">
        <f>'2022.'!Q31</f>
        <v>0</v>
      </c>
      <c r="G31" s="128">
        <f>'2022.'!R31</f>
        <v>0</v>
      </c>
      <c r="H31" s="128">
        <f t="shared" si="2"/>
        <v>0.5</v>
      </c>
      <c r="I31" s="112">
        <f t="shared" si="3"/>
        <v>0.5</v>
      </c>
      <c r="J31" s="112">
        <f>ROUND('2022.'!K31*1.025,0)</f>
        <v>6</v>
      </c>
      <c r="K31" s="112">
        <f t="shared" si="16"/>
        <v>6</v>
      </c>
      <c r="L31" s="110">
        <v>6</v>
      </c>
      <c r="M31" s="112">
        <f t="shared" si="17"/>
        <v>6</v>
      </c>
      <c r="N31" s="37">
        <f>'2022.'!O31*1.025</f>
        <v>3478.6757499999994</v>
      </c>
      <c r="O31" s="21">
        <f t="shared" si="4"/>
        <v>20872.054499999998</v>
      </c>
      <c r="P31" s="128">
        <f t="shared" si="5"/>
        <v>0</v>
      </c>
      <c r="Q31" s="128">
        <f t="shared" si="5"/>
        <v>0</v>
      </c>
    </row>
    <row r="32" spans="1:17" ht="15" customHeight="1" x14ac:dyDescent="0.3">
      <c r="A32" s="16">
        <v>22</v>
      </c>
      <c r="B32" s="17" t="s">
        <v>408</v>
      </c>
      <c r="C32" s="26" t="s">
        <v>38</v>
      </c>
      <c r="D32" s="27" t="s">
        <v>6</v>
      </c>
      <c r="E32" s="27">
        <v>2</v>
      </c>
      <c r="F32" s="128">
        <f>'2022.'!Q32</f>
        <v>2</v>
      </c>
      <c r="G32" s="128">
        <f>'2022.'!R32</f>
        <v>2</v>
      </c>
      <c r="H32" s="127">
        <f t="shared" si="2"/>
        <v>0.33333333333333331</v>
      </c>
      <c r="I32" s="109">
        <f t="shared" si="3"/>
        <v>0.33333333333333331</v>
      </c>
      <c r="J32" s="112">
        <f>ROUND('2022.'!K32*1.025,0)</f>
        <v>4</v>
      </c>
      <c r="K32" s="112">
        <f t="shared" si="16"/>
        <v>4</v>
      </c>
      <c r="L32" s="110">
        <v>3</v>
      </c>
      <c r="M32" s="112">
        <f t="shared" si="17"/>
        <v>3</v>
      </c>
      <c r="N32" s="37">
        <f>'2022.'!O32*1.025</f>
        <v>87.246974999999992</v>
      </c>
      <c r="O32" s="21">
        <f t="shared" si="4"/>
        <v>261.74092499999995</v>
      </c>
      <c r="P32" s="128">
        <f t="shared" si="5"/>
        <v>1</v>
      </c>
      <c r="Q32" s="128">
        <f t="shared" si="5"/>
        <v>1</v>
      </c>
    </row>
    <row r="33" spans="1:17" ht="15" customHeight="1" x14ac:dyDescent="0.3">
      <c r="A33" s="16">
        <v>23</v>
      </c>
      <c r="B33" s="17" t="s">
        <v>408</v>
      </c>
      <c r="C33" s="26" t="s">
        <v>40</v>
      </c>
      <c r="D33" s="27" t="s">
        <v>6</v>
      </c>
      <c r="E33" s="27">
        <v>2</v>
      </c>
      <c r="F33" s="128">
        <f>'2022.'!Q33</f>
        <v>4</v>
      </c>
      <c r="G33" s="128">
        <f>'2022.'!R33</f>
        <v>4</v>
      </c>
      <c r="H33" s="128">
        <f t="shared" si="2"/>
        <v>4.75</v>
      </c>
      <c r="I33" s="112">
        <f t="shared" si="3"/>
        <v>4.75</v>
      </c>
      <c r="J33" s="112">
        <f>ROUND('2022.'!K33*1.025,0)</f>
        <v>57</v>
      </c>
      <c r="K33" s="112">
        <f t="shared" si="16"/>
        <v>57</v>
      </c>
      <c r="L33" s="110">
        <v>51</v>
      </c>
      <c r="M33" s="112">
        <f t="shared" si="17"/>
        <v>51</v>
      </c>
      <c r="N33" s="37">
        <f>'2022.'!O33*1.025</f>
        <v>609.00374999999997</v>
      </c>
      <c r="O33" s="21">
        <f t="shared" si="4"/>
        <v>31059.19125</v>
      </c>
      <c r="P33" s="128">
        <f t="shared" si="5"/>
        <v>6</v>
      </c>
      <c r="Q33" s="128">
        <f t="shared" si="5"/>
        <v>6</v>
      </c>
    </row>
    <row r="34" spans="1:17" ht="28.75" customHeight="1" x14ac:dyDescent="0.3">
      <c r="A34" s="16">
        <v>24</v>
      </c>
      <c r="B34" s="17" t="s">
        <v>408</v>
      </c>
      <c r="C34" s="26" t="s">
        <v>41</v>
      </c>
      <c r="D34" s="27" t="s">
        <v>6</v>
      </c>
      <c r="E34" s="27">
        <v>2</v>
      </c>
      <c r="F34" s="128">
        <f>'2022.'!Q34</f>
        <v>0</v>
      </c>
      <c r="G34" s="128">
        <f>'2022.'!R34</f>
        <v>0</v>
      </c>
      <c r="H34" s="128">
        <f t="shared" si="2"/>
        <v>0.5</v>
      </c>
      <c r="I34" s="112">
        <f t="shared" si="3"/>
        <v>0.5</v>
      </c>
      <c r="J34" s="112">
        <f>ROUND('2022.'!K34*1.025,0)</f>
        <v>6</v>
      </c>
      <c r="K34" s="112">
        <f t="shared" si="16"/>
        <v>6</v>
      </c>
      <c r="L34" s="110">
        <v>6</v>
      </c>
      <c r="M34" s="112">
        <f t="shared" si="17"/>
        <v>6</v>
      </c>
      <c r="N34" s="37">
        <f>'2022.'!O34*1.025</f>
        <v>674.34749999999997</v>
      </c>
      <c r="O34" s="21">
        <f t="shared" si="4"/>
        <v>4046.085</v>
      </c>
      <c r="P34" s="128">
        <f t="shared" si="5"/>
        <v>0</v>
      </c>
      <c r="Q34" s="128">
        <f t="shared" si="5"/>
        <v>0</v>
      </c>
    </row>
    <row r="35" spans="1:17" ht="15" customHeight="1" x14ac:dyDescent="0.3">
      <c r="A35" s="16">
        <v>25</v>
      </c>
      <c r="B35" s="17" t="s">
        <v>408</v>
      </c>
      <c r="C35" s="26" t="s">
        <v>43</v>
      </c>
      <c r="D35" s="27" t="s">
        <v>6</v>
      </c>
      <c r="E35" s="27">
        <v>2</v>
      </c>
      <c r="F35" s="128">
        <f>'2022.'!Q35</f>
        <v>2</v>
      </c>
      <c r="G35" s="128">
        <f>'2022.'!R35</f>
        <v>2</v>
      </c>
      <c r="H35" s="127">
        <f t="shared" si="2"/>
        <v>0.33333333333333331</v>
      </c>
      <c r="I35" s="109">
        <f t="shared" si="3"/>
        <v>0.33333333333333331</v>
      </c>
      <c r="J35" s="112">
        <f>ROUND('2022.'!K35*1.025,0)</f>
        <v>4</v>
      </c>
      <c r="K35" s="112">
        <f t="shared" si="16"/>
        <v>4</v>
      </c>
      <c r="L35" s="110">
        <v>3</v>
      </c>
      <c r="M35" s="112">
        <f t="shared" si="17"/>
        <v>3</v>
      </c>
      <c r="N35" s="37">
        <f>'2022.'!O35*1.025</f>
        <v>650.26179374999992</v>
      </c>
      <c r="O35" s="21">
        <f t="shared" si="4"/>
        <v>1950.7853812499998</v>
      </c>
      <c r="P35" s="128">
        <f t="shared" si="5"/>
        <v>1</v>
      </c>
      <c r="Q35" s="128">
        <f t="shared" si="5"/>
        <v>1</v>
      </c>
    </row>
    <row r="36" spans="1:17" ht="27.65" customHeight="1" x14ac:dyDescent="0.3">
      <c r="A36" s="16">
        <v>26</v>
      </c>
      <c r="B36" s="17" t="s">
        <v>408</v>
      </c>
      <c r="C36" s="26" t="s">
        <v>44</v>
      </c>
      <c r="D36" s="27" t="s">
        <v>6</v>
      </c>
      <c r="E36" s="27">
        <v>2</v>
      </c>
      <c r="F36" s="128">
        <f>'2022.'!Q36</f>
        <v>0</v>
      </c>
      <c r="G36" s="128">
        <f>'2022.'!R36</f>
        <v>0</v>
      </c>
      <c r="H36" s="128">
        <f t="shared" si="2"/>
        <v>0.5</v>
      </c>
      <c r="I36" s="112">
        <f t="shared" si="3"/>
        <v>0.5</v>
      </c>
      <c r="J36" s="112">
        <f>ROUND('2022.'!K36*1.025,0)</f>
        <v>6</v>
      </c>
      <c r="K36" s="112">
        <f t="shared" si="16"/>
        <v>6</v>
      </c>
      <c r="L36" s="110">
        <v>6</v>
      </c>
      <c r="M36" s="112">
        <f t="shared" si="17"/>
        <v>6</v>
      </c>
      <c r="N36" s="37">
        <f>'2022.'!O36*1.025</f>
        <v>715.60554374999992</v>
      </c>
      <c r="O36" s="21">
        <f t="shared" si="4"/>
        <v>4293.6332624999995</v>
      </c>
      <c r="P36" s="128">
        <f t="shared" si="5"/>
        <v>0</v>
      </c>
      <c r="Q36" s="128">
        <f t="shared" si="5"/>
        <v>0</v>
      </c>
    </row>
    <row r="37" spans="1:17" ht="15" customHeight="1" x14ac:dyDescent="0.3">
      <c r="A37" s="16">
        <v>27</v>
      </c>
      <c r="B37" s="17" t="s">
        <v>408</v>
      </c>
      <c r="C37" s="26" t="s">
        <v>46</v>
      </c>
      <c r="D37" s="27" t="s">
        <v>6</v>
      </c>
      <c r="E37" s="27">
        <v>2</v>
      </c>
      <c r="F37" s="128">
        <f>'2022.'!Q37</f>
        <v>0</v>
      </c>
      <c r="G37" s="128">
        <f>'2022.'!R37</f>
        <v>0</v>
      </c>
      <c r="H37" s="127">
        <f t="shared" si="2"/>
        <v>0.25</v>
      </c>
      <c r="I37" s="109">
        <f t="shared" si="3"/>
        <v>0.25</v>
      </c>
      <c r="J37" s="112">
        <f>ROUND('2022.'!K37*1.025,0)</f>
        <v>3</v>
      </c>
      <c r="K37" s="112">
        <f t="shared" si="16"/>
        <v>3</v>
      </c>
      <c r="L37" s="110">
        <v>3</v>
      </c>
      <c r="M37" s="112">
        <f t="shared" si="17"/>
        <v>3</v>
      </c>
      <c r="N37" s="37">
        <f>'2022.'!O37*1.025</f>
        <v>156.38066249999997</v>
      </c>
      <c r="O37" s="21">
        <f t="shared" si="4"/>
        <v>469.14198749999991</v>
      </c>
      <c r="P37" s="128">
        <f t="shared" si="5"/>
        <v>0</v>
      </c>
      <c r="Q37" s="128">
        <f t="shared" si="5"/>
        <v>0</v>
      </c>
    </row>
    <row r="38" spans="1:17" ht="15" customHeight="1" x14ac:dyDescent="0.3">
      <c r="A38" s="16">
        <v>28</v>
      </c>
      <c r="B38" s="17" t="s">
        <v>408</v>
      </c>
      <c r="C38" s="26" t="s">
        <v>48</v>
      </c>
      <c r="D38" s="27" t="s">
        <v>6</v>
      </c>
      <c r="E38" s="27">
        <v>2</v>
      </c>
      <c r="F38" s="128">
        <f>'2022.'!Q38</f>
        <v>0</v>
      </c>
      <c r="G38" s="128">
        <f>'2022.'!R38</f>
        <v>0</v>
      </c>
      <c r="H38" s="127">
        <f t="shared" si="2"/>
        <v>0.25</v>
      </c>
      <c r="I38" s="109">
        <f t="shared" si="3"/>
        <v>0.25</v>
      </c>
      <c r="J38" s="112">
        <f>ROUND('2022.'!K38*1.025,0)</f>
        <v>3</v>
      </c>
      <c r="K38" s="112">
        <f t="shared" si="16"/>
        <v>3</v>
      </c>
      <c r="L38" s="110">
        <v>3</v>
      </c>
      <c r="M38" s="112">
        <f t="shared" si="17"/>
        <v>3</v>
      </c>
      <c r="N38" s="37">
        <f>'2022.'!O38*1.025</f>
        <v>260.63008124999999</v>
      </c>
      <c r="O38" s="21">
        <f t="shared" si="4"/>
        <v>781.89024374999997</v>
      </c>
      <c r="P38" s="128">
        <f t="shared" si="5"/>
        <v>0</v>
      </c>
      <c r="Q38" s="128">
        <f t="shared" si="5"/>
        <v>0</v>
      </c>
    </row>
    <row r="39" spans="1:17" ht="15" customHeight="1" x14ac:dyDescent="0.3">
      <c r="A39" s="16">
        <v>29</v>
      </c>
      <c r="B39" s="17" t="s">
        <v>408</v>
      </c>
      <c r="C39" s="26" t="s">
        <v>50</v>
      </c>
      <c r="D39" s="27" t="s">
        <v>6</v>
      </c>
      <c r="E39" s="27">
        <v>2</v>
      </c>
      <c r="F39" s="128">
        <f>'2022.'!Q39</f>
        <v>1</v>
      </c>
      <c r="G39" s="128">
        <f>'2022.'!R39</f>
        <v>1</v>
      </c>
      <c r="H39" s="127">
        <f t="shared" si="2"/>
        <v>0.25</v>
      </c>
      <c r="I39" s="109">
        <f t="shared" si="3"/>
        <v>0.25</v>
      </c>
      <c r="J39" s="112">
        <f>ROUND('2022.'!K39*1.025,0)</f>
        <v>3</v>
      </c>
      <c r="K39" s="112">
        <f t="shared" si="16"/>
        <v>3</v>
      </c>
      <c r="L39" s="110">
        <v>3</v>
      </c>
      <c r="M39" s="112">
        <f t="shared" si="17"/>
        <v>3</v>
      </c>
      <c r="N39" s="37">
        <f>'2022.'!O39*1.025</f>
        <v>260.63008124999999</v>
      </c>
      <c r="O39" s="21">
        <f t="shared" si="4"/>
        <v>781.89024374999997</v>
      </c>
      <c r="P39" s="128">
        <f t="shared" si="5"/>
        <v>0</v>
      </c>
      <c r="Q39" s="128">
        <f t="shared" si="5"/>
        <v>0</v>
      </c>
    </row>
    <row r="40" spans="1:17" ht="15" customHeight="1" x14ac:dyDescent="0.3">
      <c r="A40" s="16">
        <v>30</v>
      </c>
      <c r="B40" s="17" t="s">
        <v>408</v>
      </c>
      <c r="C40" s="26" t="s">
        <v>52</v>
      </c>
      <c r="D40" s="27" t="s">
        <v>6</v>
      </c>
      <c r="E40" s="27">
        <v>1</v>
      </c>
      <c r="F40" s="128">
        <f>'2022.'!Q40</f>
        <v>1</v>
      </c>
      <c r="G40" s="128">
        <f>'2022.'!R40</f>
        <v>1</v>
      </c>
      <c r="H40" s="127">
        <f t="shared" si="2"/>
        <v>0.25</v>
      </c>
      <c r="I40" s="109">
        <f t="shared" si="3"/>
        <v>0.25</v>
      </c>
      <c r="J40" s="112">
        <f>ROUND('2022.'!K40*1.025,0)</f>
        <v>3</v>
      </c>
      <c r="K40" s="112">
        <f t="shared" si="16"/>
        <v>3</v>
      </c>
      <c r="L40" s="110">
        <v>3</v>
      </c>
      <c r="M40" s="112">
        <f t="shared" si="17"/>
        <v>3</v>
      </c>
      <c r="N40" s="37">
        <f>'2022.'!O40*1.025</f>
        <v>208.49883749999995</v>
      </c>
      <c r="O40" s="21">
        <f t="shared" si="4"/>
        <v>625.49651249999988</v>
      </c>
      <c r="P40" s="128">
        <f t="shared" si="5"/>
        <v>0</v>
      </c>
      <c r="Q40" s="128">
        <f t="shared" si="5"/>
        <v>0</v>
      </c>
    </row>
    <row r="41" spans="1:17" ht="15" customHeight="1" x14ac:dyDescent="0.3">
      <c r="A41" s="16">
        <v>31</v>
      </c>
      <c r="B41" s="17" t="s">
        <v>408</v>
      </c>
      <c r="C41" s="26" t="s">
        <v>54</v>
      </c>
      <c r="D41" s="27" t="s">
        <v>6</v>
      </c>
      <c r="E41" s="27">
        <v>2</v>
      </c>
      <c r="F41" s="128">
        <f>'2022.'!Q41</f>
        <v>2</v>
      </c>
      <c r="G41" s="128">
        <f>'2022.'!R41</f>
        <v>4</v>
      </c>
      <c r="H41" s="128">
        <f t="shared" si="2"/>
        <v>2.25</v>
      </c>
      <c r="I41" s="112">
        <f t="shared" si="3"/>
        <v>4.5</v>
      </c>
      <c r="J41" s="112">
        <f>ROUND('2022.'!K41*1.025,0)</f>
        <v>27</v>
      </c>
      <c r="K41" s="112">
        <f t="shared" si="16"/>
        <v>54</v>
      </c>
      <c r="L41" s="110">
        <v>24</v>
      </c>
      <c r="M41" s="112">
        <f t="shared" si="17"/>
        <v>48</v>
      </c>
      <c r="N41" s="37">
        <f>'2022.'!O41*1.025</f>
        <v>165.31968749999999</v>
      </c>
      <c r="O41" s="21">
        <f t="shared" si="4"/>
        <v>7935.3449999999993</v>
      </c>
      <c r="P41" s="128">
        <f t="shared" si="5"/>
        <v>3</v>
      </c>
      <c r="Q41" s="128">
        <f t="shared" si="5"/>
        <v>6</v>
      </c>
    </row>
    <row r="42" spans="1:17" ht="15" customHeight="1" x14ac:dyDescent="0.3">
      <c r="A42" s="16">
        <v>32</v>
      </c>
      <c r="B42" s="17" t="s">
        <v>408</v>
      </c>
      <c r="C42" s="26" t="s">
        <v>55</v>
      </c>
      <c r="D42" s="27" t="s">
        <v>6</v>
      </c>
      <c r="E42" s="27">
        <v>2</v>
      </c>
      <c r="F42" s="128">
        <f>'2022.'!Q42</f>
        <v>0</v>
      </c>
      <c r="G42" s="128">
        <f>'2022.'!R42</f>
        <v>0</v>
      </c>
      <c r="H42" s="128">
        <f t="shared" si="2"/>
        <v>0.5</v>
      </c>
      <c r="I42" s="112">
        <f t="shared" si="3"/>
        <v>0.5</v>
      </c>
      <c r="J42" s="112">
        <f>ROUND('2022.'!K42*1.025,0)</f>
        <v>6</v>
      </c>
      <c r="K42" s="112">
        <f t="shared" si="16"/>
        <v>6</v>
      </c>
      <c r="L42" s="110">
        <v>6</v>
      </c>
      <c r="M42" s="112">
        <f t="shared" si="17"/>
        <v>6</v>
      </c>
      <c r="N42" s="37">
        <f>'2022.'!O42*1.025</f>
        <v>512.03362499999992</v>
      </c>
      <c r="O42" s="21">
        <f t="shared" si="4"/>
        <v>3072.2017499999993</v>
      </c>
      <c r="P42" s="128">
        <f t="shared" si="5"/>
        <v>0</v>
      </c>
      <c r="Q42" s="128">
        <f t="shared" si="5"/>
        <v>0</v>
      </c>
    </row>
    <row r="43" spans="1:17" ht="15" customHeight="1" x14ac:dyDescent="0.3">
      <c r="A43" s="16">
        <v>33</v>
      </c>
      <c r="B43" s="17" t="s">
        <v>408</v>
      </c>
      <c r="C43" s="26" t="s">
        <v>57</v>
      </c>
      <c r="D43" s="27" t="s">
        <v>6</v>
      </c>
      <c r="E43" s="27">
        <v>2</v>
      </c>
      <c r="F43" s="128">
        <f>'2022.'!Q43</f>
        <v>17</v>
      </c>
      <c r="G43" s="128">
        <f>'2022.'!R43</f>
        <v>20</v>
      </c>
      <c r="H43" s="128">
        <f t="shared" si="2"/>
        <v>18.916666666666668</v>
      </c>
      <c r="I43" s="112">
        <f t="shared" si="3"/>
        <v>22.25</v>
      </c>
      <c r="J43" s="112">
        <f>ROUND('2022.'!K43*1.025,0)</f>
        <v>227</v>
      </c>
      <c r="K43" s="112">
        <f t="shared" si="16"/>
        <v>267</v>
      </c>
      <c r="L43" s="110">
        <v>204</v>
      </c>
      <c r="M43" s="112">
        <f t="shared" si="17"/>
        <v>240</v>
      </c>
      <c r="N43" s="37">
        <f>'2022.'!O43*1.025</f>
        <v>198.38362499999997</v>
      </c>
      <c r="O43" s="21">
        <f t="shared" si="4"/>
        <v>47612.069999999992</v>
      </c>
      <c r="P43" s="128">
        <f t="shared" si="5"/>
        <v>23</v>
      </c>
      <c r="Q43" s="128">
        <f t="shared" si="5"/>
        <v>27</v>
      </c>
    </row>
    <row r="44" spans="1:17" ht="15" customHeight="1" x14ac:dyDescent="0.3">
      <c r="A44" s="16">
        <v>34</v>
      </c>
      <c r="B44" s="17" t="s">
        <v>408</v>
      </c>
      <c r="C44" s="26" t="s">
        <v>59</v>
      </c>
      <c r="D44" s="27" t="s">
        <v>6</v>
      </c>
      <c r="E44" s="27">
        <v>2</v>
      </c>
      <c r="F44" s="128">
        <f>'2022.'!Q44</f>
        <v>1</v>
      </c>
      <c r="G44" s="128">
        <f>'2022.'!R44</f>
        <v>1</v>
      </c>
      <c r="H44" s="128">
        <f t="shared" si="2"/>
        <v>1.0833333333333333</v>
      </c>
      <c r="I44" s="112">
        <f t="shared" si="3"/>
        <v>1.0833333333333333</v>
      </c>
      <c r="J44" s="112">
        <f>ROUND('2022.'!K44*1.025,0)</f>
        <v>13</v>
      </c>
      <c r="K44" s="112">
        <f t="shared" si="16"/>
        <v>13</v>
      </c>
      <c r="L44" s="110">
        <v>12</v>
      </c>
      <c r="M44" s="112">
        <f t="shared" si="17"/>
        <v>12</v>
      </c>
      <c r="N44" s="37">
        <f>'2022.'!O44*1.025</f>
        <v>176.34971249999998</v>
      </c>
      <c r="O44" s="21">
        <f t="shared" si="4"/>
        <v>2116.1965499999997</v>
      </c>
      <c r="P44" s="128">
        <f t="shared" si="5"/>
        <v>1</v>
      </c>
      <c r="Q44" s="128">
        <f t="shared" si="5"/>
        <v>1</v>
      </c>
    </row>
    <row r="45" spans="1:17" ht="15" customHeight="1" x14ac:dyDescent="0.3">
      <c r="A45" s="16">
        <v>35</v>
      </c>
      <c r="B45" s="17" t="s">
        <v>408</v>
      </c>
      <c r="C45" s="26" t="s">
        <v>60</v>
      </c>
      <c r="D45" s="27" t="s">
        <v>6</v>
      </c>
      <c r="E45" s="27">
        <v>2</v>
      </c>
      <c r="F45" s="128">
        <f>'2022.'!Q45</f>
        <v>0</v>
      </c>
      <c r="G45" s="128">
        <f>'2022.'!R45</f>
        <v>0</v>
      </c>
      <c r="H45" s="128">
        <f t="shared" si="2"/>
        <v>0.5</v>
      </c>
      <c r="I45" s="112">
        <f t="shared" si="3"/>
        <v>0.5</v>
      </c>
      <c r="J45" s="112">
        <f>ROUND('2022.'!K45*1.025,0)</f>
        <v>6</v>
      </c>
      <c r="K45" s="112">
        <f t="shared" si="16"/>
        <v>6</v>
      </c>
      <c r="L45" s="110">
        <v>6</v>
      </c>
      <c r="M45" s="112">
        <f t="shared" si="17"/>
        <v>6</v>
      </c>
      <c r="N45" s="37">
        <f>'2022.'!O45*1.025</f>
        <v>523.06364999999994</v>
      </c>
      <c r="O45" s="21">
        <f t="shared" si="4"/>
        <v>3138.3818999999994</v>
      </c>
      <c r="P45" s="128">
        <f t="shared" si="5"/>
        <v>0</v>
      </c>
      <c r="Q45" s="128">
        <f t="shared" si="5"/>
        <v>0</v>
      </c>
    </row>
    <row r="46" spans="1:17" ht="15" customHeight="1" x14ac:dyDescent="0.3">
      <c r="A46" s="16">
        <v>36</v>
      </c>
      <c r="B46" s="17" t="s">
        <v>408</v>
      </c>
      <c r="C46" s="26" t="s">
        <v>62</v>
      </c>
      <c r="D46" s="27" t="s">
        <v>6</v>
      </c>
      <c r="E46" s="27">
        <v>2</v>
      </c>
      <c r="F46" s="128">
        <f>'2022.'!Q46</f>
        <v>2</v>
      </c>
      <c r="G46" s="128">
        <f>'2022.'!R46</f>
        <v>2</v>
      </c>
      <c r="H46" s="127">
        <f t="shared" si="2"/>
        <v>0.33333333333333331</v>
      </c>
      <c r="I46" s="109">
        <f t="shared" si="3"/>
        <v>0.33333333333333331</v>
      </c>
      <c r="J46" s="112">
        <f>ROUND('2022.'!K46*1.025,0)</f>
        <v>4</v>
      </c>
      <c r="K46" s="112">
        <f t="shared" si="16"/>
        <v>4</v>
      </c>
      <c r="L46" s="110">
        <v>3</v>
      </c>
      <c r="M46" s="112">
        <f t="shared" si="17"/>
        <v>3</v>
      </c>
      <c r="N46" s="37">
        <f>'2022.'!O46*1.025</f>
        <v>220.43060624999995</v>
      </c>
      <c r="O46" s="21">
        <f t="shared" si="4"/>
        <v>661.29181874999983</v>
      </c>
      <c r="P46" s="128">
        <f t="shared" si="5"/>
        <v>1</v>
      </c>
      <c r="Q46" s="128">
        <f t="shared" si="5"/>
        <v>1</v>
      </c>
    </row>
    <row r="47" spans="1:17" ht="15" customHeight="1" x14ac:dyDescent="0.3">
      <c r="A47" s="16">
        <v>37</v>
      </c>
      <c r="B47" s="17" t="s">
        <v>408</v>
      </c>
      <c r="C47" s="26" t="s">
        <v>64</v>
      </c>
      <c r="D47" s="27" t="s">
        <v>6</v>
      </c>
      <c r="E47" s="27">
        <v>2</v>
      </c>
      <c r="F47" s="128">
        <f>'2022.'!Q47</f>
        <v>0</v>
      </c>
      <c r="G47" s="128">
        <f>'2022.'!R47</f>
        <v>0</v>
      </c>
      <c r="H47" s="128">
        <f t="shared" si="2"/>
        <v>0.58333333333333337</v>
      </c>
      <c r="I47" s="112">
        <f t="shared" si="3"/>
        <v>0.58333333333333337</v>
      </c>
      <c r="J47" s="112">
        <f>ROUND('2022.'!K47*1.025,0)</f>
        <v>7</v>
      </c>
      <c r="K47" s="112">
        <f t="shared" si="16"/>
        <v>7</v>
      </c>
      <c r="L47" s="110">
        <v>6</v>
      </c>
      <c r="M47" s="112">
        <f t="shared" si="17"/>
        <v>6</v>
      </c>
      <c r="N47" s="37">
        <f>'2022.'!O47*1.025</f>
        <v>352.68635624999996</v>
      </c>
      <c r="O47" s="21">
        <f t="shared" si="4"/>
        <v>2116.1181374999996</v>
      </c>
      <c r="P47" s="128">
        <f t="shared" si="5"/>
        <v>1</v>
      </c>
      <c r="Q47" s="128">
        <f t="shared" si="5"/>
        <v>1</v>
      </c>
    </row>
    <row r="48" spans="1:17" ht="15" customHeight="1" x14ac:dyDescent="0.3">
      <c r="A48" s="16">
        <v>38</v>
      </c>
      <c r="B48" s="17" t="s">
        <v>408</v>
      </c>
      <c r="C48" s="26" t="s">
        <v>66</v>
      </c>
      <c r="D48" s="27" t="s">
        <v>6</v>
      </c>
      <c r="E48" s="27">
        <v>2</v>
      </c>
      <c r="F48" s="128">
        <f>'2022.'!Q48</f>
        <v>0</v>
      </c>
      <c r="G48" s="128">
        <f>'2022.'!R48</f>
        <v>0</v>
      </c>
      <c r="H48" s="127">
        <f t="shared" si="2"/>
        <v>0.25</v>
      </c>
      <c r="I48" s="109">
        <f t="shared" si="3"/>
        <v>0.25</v>
      </c>
      <c r="J48" s="112">
        <f>ROUND('2022.'!K48*1.025,0)</f>
        <v>3</v>
      </c>
      <c r="K48" s="112">
        <f t="shared" si="16"/>
        <v>3</v>
      </c>
      <c r="L48" s="110">
        <v>3</v>
      </c>
      <c r="M48" s="112">
        <f t="shared" si="17"/>
        <v>3</v>
      </c>
      <c r="N48" s="37">
        <f>'2022.'!O48*1.025</f>
        <v>339.78749999999997</v>
      </c>
      <c r="O48" s="21">
        <f t="shared" si="4"/>
        <v>1019.3625</v>
      </c>
      <c r="P48" s="128">
        <f t="shared" si="5"/>
        <v>0</v>
      </c>
      <c r="Q48" s="128">
        <f t="shared" si="5"/>
        <v>0</v>
      </c>
    </row>
    <row r="49" spans="1:17" ht="25.75" customHeight="1" x14ac:dyDescent="0.3">
      <c r="A49" s="16">
        <v>39</v>
      </c>
      <c r="B49" s="17" t="s">
        <v>408</v>
      </c>
      <c r="C49" s="26" t="s">
        <v>68</v>
      </c>
      <c r="D49" s="27" t="s">
        <v>6</v>
      </c>
      <c r="E49" s="27">
        <v>2</v>
      </c>
      <c r="F49" s="128">
        <f>'2022.'!Q49</f>
        <v>0</v>
      </c>
      <c r="G49" s="128">
        <f>'2022.'!R49</f>
        <v>0</v>
      </c>
      <c r="H49" s="127">
        <f t="shared" si="2"/>
        <v>0.25</v>
      </c>
      <c r="I49" s="109">
        <f t="shared" si="3"/>
        <v>0.25</v>
      </c>
      <c r="J49" s="112">
        <f>ROUND('2022.'!K49*1.025,0)</f>
        <v>3</v>
      </c>
      <c r="K49" s="112">
        <f t="shared" si="16"/>
        <v>3</v>
      </c>
      <c r="L49" s="110">
        <v>3</v>
      </c>
      <c r="M49" s="112">
        <f t="shared" si="17"/>
        <v>3</v>
      </c>
      <c r="N49" s="37">
        <f>'2022.'!O49*1.025</f>
        <v>382.96664999999996</v>
      </c>
      <c r="O49" s="21">
        <f t="shared" si="4"/>
        <v>1148.89995</v>
      </c>
      <c r="P49" s="128">
        <f t="shared" si="5"/>
        <v>0</v>
      </c>
      <c r="Q49" s="128">
        <f t="shared" si="5"/>
        <v>0</v>
      </c>
    </row>
    <row r="50" spans="1:17" ht="18" customHeight="1" x14ac:dyDescent="0.3">
      <c r="A50" s="16">
        <v>40</v>
      </c>
      <c r="B50" s="17" t="s">
        <v>408</v>
      </c>
      <c r="C50" s="26" t="s">
        <v>70</v>
      </c>
      <c r="D50" s="27" t="s">
        <v>6</v>
      </c>
      <c r="E50" s="27">
        <v>2</v>
      </c>
      <c r="F50" s="128">
        <f>'2022.'!Q50</f>
        <v>0</v>
      </c>
      <c r="G50" s="128">
        <f>'2022.'!R50</f>
        <v>0</v>
      </c>
      <c r="H50" s="127">
        <f t="shared" si="2"/>
        <v>0.25</v>
      </c>
      <c r="I50" s="109">
        <f t="shared" si="3"/>
        <v>0.25</v>
      </c>
      <c r="J50" s="112">
        <f>ROUND('2022.'!K50*1.025,0)</f>
        <v>3</v>
      </c>
      <c r="K50" s="112">
        <f t="shared" si="16"/>
        <v>3</v>
      </c>
      <c r="L50" s="110">
        <v>3</v>
      </c>
      <c r="M50" s="112">
        <f t="shared" si="17"/>
        <v>3</v>
      </c>
      <c r="N50" s="37">
        <f>'2022.'!O50*1.025</f>
        <v>359.39062499999994</v>
      </c>
      <c r="O50" s="21">
        <f t="shared" si="4"/>
        <v>1078.1718749999998</v>
      </c>
      <c r="P50" s="128">
        <f t="shared" si="5"/>
        <v>0</v>
      </c>
      <c r="Q50" s="128">
        <f t="shared" si="5"/>
        <v>0</v>
      </c>
    </row>
    <row r="51" spans="1:17" ht="25.75" customHeight="1" x14ac:dyDescent="0.3">
      <c r="A51" s="16">
        <v>41</v>
      </c>
      <c r="B51" s="17" t="s">
        <v>408</v>
      </c>
      <c r="C51" s="26" t="s">
        <v>72</v>
      </c>
      <c r="D51" s="27" t="s">
        <v>6</v>
      </c>
      <c r="E51" s="27">
        <v>2</v>
      </c>
      <c r="F51" s="128">
        <f>'2022.'!Q51</f>
        <v>1</v>
      </c>
      <c r="G51" s="128">
        <f>'2022.'!R51</f>
        <v>1</v>
      </c>
      <c r="H51" s="127">
        <f t="shared" si="2"/>
        <v>0.25</v>
      </c>
      <c r="I51" s="109">
        <f t="shared" si="3"/>
        <v>0.25</v>
      </c>
      <c r="J51" s="112">
        <f>ROUND('2022.'!K51*1.025,0)</f>
        <v>3</v>
      </c>
      <c r="K51" s="112">
        <f t="shared" si="16"/>
        <v>3</v>
      </c>
      <c r="L51" s="110">
        <v>3</v>
      </c>
      <c r="M51" s="112">
        <f t="shared" si="17"/>
        <v>3</v>
      </c>
      <c r="N51" s="37">
        <f>'2022.'!O51*1.025</f>
        <v>588.09375</v>
      </c>
      <c r="O51" s="21">
        <f t="shared" si="4"/>
        <v>1764.28125</v>
      </c>
      <c r="P51" s="128">
        <f t="shared" si="5"/>
        <v>0</v>
      </c>
      <c r="Q51" s="128">
        <f t="shared" si="5"/>
        <v>0</v>
      </c>
    </row>
    <row r="52" spans="1:17" ht="15" customHeight="1" x14ac:dyDescent="0.3">
      <c r="A52" s="16">
        <v>42</v>
      </c>
      <c r="B52" s="17" t="s">
        <v>408</v>
      </c>
      <c r="C52" s="26" t="s">
        <v>74</v>
      </c>
      <c r="D52" s="27" t="s">
        <v>6</v>
      </c>
      <c r="E52" s="27">
        <v>2</v>
      </c>
      <c r="F52" s="128">
        <f>'2022.'!Q52</f>
        <v>1</v>
      </c>
      <c r="G52" s="128">
        <f>'2022.'!R52</f>
        <v>1</v>
      </c>
      <c r="H52" s="128">
        <f t="shared" si="2"/>
        <v>1.0833333333333333</v>
      </c>
      <c r="I52" s="112">
        <f t="shared" si="3"/>
        <v>1.0833333333333333</v>
      </c>
      <c r="J52" s="112">
        <f>ROUND('2022.'!K52*1.025,0)</f>
        <v>13</v>
      </c>
      <c r="K52" s="112">
        <f t="shared" si="16"/>
        <v>13</v>
      </c>
      <c r="L52" s="110">
        <v>12</v>
      </c>
      <c r="M52" s="112">
        <f t="shared" si="17"/>
        <v>12</v>
      </c>
      <c r="N52" s="37">
        <f>'2022.'!O52*1.025</f>
        <v>339.78749999999997</v>
      </c>
      <c r="O52" s="21">
        <f t="shared" si="4"/>
        <v>4077.45</v>
      </c>
      <c r="P52" s="128">
        <f t="shared" si="5"/>
        <v>1</v>
      </c>
      <c r="Q52" s="128">
        <f t="shared" si="5"/>
        <v>1</v>
      </c>
    </row>
    <row r="53" spans="1:17" ht="15" customHeight="1" x14ac:dyDescent="0.3">
      <c r="A53" s="16">
        <v>43</v>
      </c>
      <c r="B53" s="17" t="s">
        <v>408</v>
      </c>
      <c r="C53" s="26" t="s">
        <v>76</v>
      </c>
      <c r="D53" s="27" t="s">
        <v>6</v>
      </c>
      <c r="E53" s="27">
        <v>2</v>
      </c>
      <c r="F53" s="128">
        <f>'2022.'!Q53</f>
        <v>3</v>
      </c>
      <c r="G53" s="128">
        <f>'2022.'!R53</f>
        <v>3</v>
      </c>
      <c r="H53" s="128">
        <f t="shared" si="2"/>
        <v>2</v>
      </c>
      <c r="I53" s="112">
        <f t="shared" si="3"/>
        <v>2</v>
      </c>
      <c r="J53" s="112">
        <f>ROUND('2022.'!K53*1.025,0)</f>
        <v>24</v>
      </c>
      <c r="K53" s="112">
        <f t="shared" si="16"/>
        <v>24</v>
      </c>
      <c r="L53" s="110">
        <v>21</v>
      </c>
      <c r="M53" s="112">
        <f t="shared" si="17"/>
        <v>21</v>
      </c>
      <c r="N53" s="37">
        <f>'2022.'!O53*1.025</f>
        <v>401.47199999999992</v>
      </c>
      <c r="O53" s="21">
        <f t="shared" si="4"/>
        <v>8430.9119999999984</v>
      </c>
      <c r="P53" s="128">
        <f t="shared" si="5"/>
        <v>3</v>
      </c>
      <c r="Q53" s="128">
        <f t="shared" si="5"/>
        <v>3</v>
      </c>
    </row>
    <row r="54" spans="1:17" ht="27.65" customHeight="1" x14ac:dyDescent="0.3">
      <c r="A54" s="16">
        <v>44</v>
      </c>
      <c r="B54" s="17" t="s">
        <v>408</v>
      </c>
      <c r="C54" s="26" t="s">
        <v>78</v>
      </c>
      <c r="D54" s="27" t="s">
        <v>6</v>
      </c>
      <c r="E54" s="27">
        <v>2</v>
      </c>
      <c r="F54" s="128">
        <f>'2022.'!Q54</f>
        <v>2</v>
      </c>
      <c r="G54" s="128">
        <f>'2022.'!R54</f>
        <v>2</v>
      </c>
      <c r="H54" s="127">
        <f t="shared" si="2"/>
        <v>0.33333333333333331</v>
      </c>
      <c r="I54" s="109">
        <f t="shared" si="3"/>
        <v>0.33333333333333331</v>
      </c>
      <c r="J54" s="112">
        <f>ROUND('2022.'!K54*1.025,0)</f>
        <v>4</v>
      </c>
      <c r="K54" s="112">
        <f t="shared" si="16"/>
        <v>4</v>
      </c>
      <c r="L54" s="110">
        <v>3</v>
      </c>
      <c r="M54" s="112">
        <f t="shared" si="17"/>
        <v>3</v>
      </c>
      <c r="N54" s="37">
        <f>'2022.'!O54*1.025</f>
        <v>382.96664999999996</v>
      </c>
      <c r="O54" s="21">
        <f t="shared" si="4"/>
        <v>1148.89995</v>
      </c>
      <c r="P54" s="128">
        <f t="shared" si="5"/>
        <v>1</v>
      </c>
      <c r="Q54" s="128">
        <f t="shared" si="5"/>
        <v>1</v>
      </c>
    </row>
    <row r="55" spans="1:17" ht="27.65" customHeight="1" x14ac:dyDescent="0.3">
      <c r="A55" s="16">
        <v>45</v>
      </c>
      <c r="B55" s="17" t="s">
        <v>408</v>
      </c>
      <c r="C55" s="26" t="s">
        <v>80</v>
      </c>
      <c r="D55" s="27" t="s">
        <v>6</v>
      </c>
      <c r="E55" s="27">
        <v>2</v>
      </c>
      <c r="F55" s="128">
        <f>'2022.'!Q55</f>
        <v>0</v>
      </c>
      <c r="G55" s="128">
        <f>'2022.'!R55</f>
        <v>0</v>
      </c>
      <c r="H55" s="127">
        <f t="shared" si="2"/>
        <v>0.25</v>
      </c>
      <c r="I55" s="109">
        <f t="shared" si="3"/>
        <v>0.25</v>
      </c>
      <c r="J55" s="112">
        <f>ROUND('2022.'!K55*1.025,0)</f>
        <v>3</v>
      </c>
      <c r="K55" s="112">
        <f t="shared" si="16"/>
        <v>3</v>
      </c>
      <c r="L55" s="110">
        <v>3</v>
      </c>
      <c r="M55" s="112">
        <f t="shared" si="17"/>
        <v>3</v>
      </c>
      <c r="N55" s="37">
        <f>'2022.'!O55*1.025</f>
        <v>196.03124999999997</v>
      </c>
      <c r="O55" s="21">
        <f t="shared" si="4"/>
        <v>588.09374999999989</v>
      </c>
      <c r="P55" s="128">
        <f t="shared" si="5"/>
        <v>0</v>
      </c>
      <c r="Q55" s="128">
        <f t="shared" si="5"/>
        <v>0</v>
      </c>
    </row>
    <row r="56" spans="1:17" ht="15" customHeight="1" x14ac:dyDescent="0.3">
      <c r="A56" s="16">
        <v>46</v>
      </c>
      <c r="B56" s="17" t="s">
        <v>408</v>
      </c>
      <c r="C56" s="26" t="s">
        <v>82</v>
      </c>
      <c r="D56" s="27" t="s">
        <v>6</v>
      </c>
      <c r="E56" s="27">
        <v>2</v>
      </c>
      <c r="F56" s="128">
        <f>'2022.'!Q56</f>
        <v>0</v>
      </c>
      <c r="G56" s="128">
        <f>'2022.'!R56</f>
        <v>0</v>
      </c>
      <c r="H56" s="127">
        <f t="shared" si="2"/>
        <v>0.25</v>
      </c>
      <c r="I56" s="109">
        <f t="shared" si="3"/>
        <v>0.25</v>
      </c>
      <c r="J56" s="112">
        <f>ROUND('2022.'!K56*1.025,0)</f>
        <v>3</v>
      </c>
      <c r="K56" s="112">
        <f t="shared" si="16"/>
        <v>3</v>
      </c>
      <c r="L56" s="110">
        <v>3</v>
      </c>
      <c r="M56" s="112">
        <f t="shared" si="17"/>
        <v>3</v>
      </c>
      <c r="N56" s="37">
        <f>'2022.'!O56*1.025</f>
        <v>359.39062499999994</v>
      </c>
      <c r="O56" s="21">
        <f t="shared" si="4"/>
        <v>1078.1718749999998</v>
      </c>
      <c r="P56" s="128">
        <f t="shared" si="5"/>
        <v>0</v>
      </c>
      <c r="Q56" s="128">
        <f t="shared" si="5"/>
        <v>0</v>
      </c>
    </row>
    <row r="57" spans="1:17" ht="15" customHeight="1" x14ac:dyDescent="0.3">
      <c r="A57" s="16">
        <v>47</v>
      </c>
      <c r="B57" s="17" t="s">
        <v>408</v>
      </c>
      <c r="C57" s="26" t="s">
        <v>84</v>
      </c>
      <c r="D57" s="27" t="s">
        <v>6</v>
      </c>
      <c r="E57" s="27">
        <v>2</v>
      </c>
      <c r="F57" s="128">
        <f>'2022.'!Q57</f>
        <v>12</v>
      </c>
      <c r="G57" s="128">
        <f>'2022.'!R57</f>
        <v>16</v>
      </c>
      <c r="H57" s="128">
        <f t="shared" si="2"/>
        <v>26.166666666666668</v>
      </c>
      <c r="I57" s="112">
        <f t="shared" si="3"/>
        <v>34.916666666666664</v>
      </c>
      <c r="J57" s="112">
        <f>ROUND('2022.'!K57*1.025,0)</f>
        <v>314</v>
      </c>
      <c r="K57" s="112">
        <f t="shared" si="16"/>
        <v>419</v>
      </c>
      <c r="L57" s="110">
        <v>302</v>
      </c>
      <c r="M57" s="112">
        <f t="shared" si="17"/>
        <v>403</v>
      </c>
      <c r="N57" s="37">
        <f>'2022.'!O57*1.025</f>
        <v>236.24379374999998</v>
      </c>
      <c r="O57" s="21">
        <f t="shared" si="4"/>
        <v>95206.248881249994</v>
      </c>
      <c r="P57" s="128">
        <f t="shared" si="5"/>
        <v>12</v>
      </c>
      <c r="Q57" s="128">
        <f t="shared" si="5"/>
        <v>16</v>
      </c>
    </row>
    <row r="58" spans="1:17" ht="15" customHeight="1" x14ac:dyDescent="0.3">
      <c r="A58" s="16">
        <v>48</v>
      </c>
      <c r="B58" s="17" t="s">
        <v>408</v>
      </c>
      <c r="C58" s="26" t="s">
        <v>86</v>
      </c>
      <c r="D58" s="27" t="s">
        <v>6</v>
      </c>
      <c r="E58" s="27">
        <v>2</v>
      </c>
      <c r="F58" s="128">
        <f>'2022.'!Q58</f>
        <v>10</v>
      </c>
      <c r="G58" s="128">
        <f>'2022.'!R58</f>
        <v>10</v>
      </c>
      <c r="H58" s="128">
        <f t="shared" si="2"/>
        <v>10.25</v>
      </c>
      <c r="I58" s="112">
        <f t="shared" si="3"/>
        <v>10.25</v>
      </c>
      <c r="J58" s="112">
        <f>ROUND('2022.'!K58*1.025,0)</f>
        <v>123</v>
      </c>
      <c r="K58" s="112">
        <f t="shared" si="16"/>
        <v>123</v>
      </c>
      <c r="L58" s="110">
        <v>120</v>
      </c>
      <c r="M58" s="112">
        <f t="shared" si="17"/>
        <v>120</v>
      </c>
      <c r="N58" s="37">
        <f>'2022.'!O58*1.025</f>
        <v>1397.7028124999999</v>
      </c>
      <c r="O58" s="21">
        <f t="shared" si="4"/>
        <v>167724.33749999999</v>
      </c>
      <c r="P58" s="128">
        <f t="shared" si="5"/>
        <v>3</v>
      </c>
      <c r="Q58" s="128">
        <f t="shared" si="5"/>
        <v>3</v>
      </c>
    </row>
    <row r="59" spans="1:17" ht="24.65" customHeight="1" x14ac:dyDescent="0.3">
      <c r="A59" s="16">
        <v>49</v>
      </c>
      <c r="B59" s="17" t="s">
        <v>408</v>
      </c>
      <c r="C59" s="26" t="s">
        <v>87</v>
      </c>
      <c r="D59" s="27" t="s">
        <v>6</v>
      </c>
      <c r="E59" s="27">
        <v>2</v>
      </c>
      <c r="F59" s="128">
        <f>'2022.'!Q59</f>
        <v>5</v>
      </c>
      <c r="G59" s="128">
        <f>'2022.'!R59</f>
        <v>5</v>
      </c>
      <c r="H59" s="128">
        <f t="shared" si="2"/>
        <v>5.166666666666667</v>
      </c>
      <c r="I59" s="112">
        <f t="shared" si="3"/>
        <v>5.166666666666667</v>
      </c>
      <c r="J59" s="112">
        <f>ROUND('2022.'!K59*1.025,0)</f>
        <v>62</v>
      </c>
      <c r="K59" s="112">
        <f t="shared" si="16"/>
        <v>62</v>
      </c>
      <c r="L59" s="110">
        <v>60</v>
      </c>
      <c r="M59" s="112">
        <f t="shared" si="17"/>
        <v>60</v>
      </c>
      <c r="N59" s="37">
        <f>'2022.'!O59*1.025</f>
        <v>314.65629374999997</v>
      </c>
      <c r="O59" s="21">
        <f t="shared" si="4"/>
        <v>18879.377624999997</v>
      </c>
      <c r="P59" s="128">
        <f t="shared" si="5"/>
        <v>2</v>
      </c>
      <c r="Q59" s="128">
        <f t="shared" si="5"/>
        <v>2</v>
      </c>
    </row>
    <row r="60" spans="1:17" ht="15" customHeight="1" x14ac:dyDescent="0.3">
      <c r="A60" s="16">
        <v>50</v>
      </c>
      <c r="B60" s="17" t="s">
        <v>408</v>
      </c>
      <c r="C60" s="26" t="s">
        <v>88</v>
      </c>
      <c r="D60" s="27" t="s">
        <v>6</v>
      </c>
      <c r="E60" s="27">
        <v>2</v>
      </c>
      <c r="F60" s="128">
        <f>'2022.'!Q60</f>
        <v>5</v>
      </c>
      <c r="G60" s="128">
        <f>'2022.'!R60</f>
        <v>5</v>
      </c>
      <c r="H60" s="128">
        <f t="shared" si="2"/>
        <v>5.166666666666667</v>
      </c>
      <c r="I60" s="112">
        <f t="shared" si="3"/>
        <v>5.166666666666667</v>
      </c>
      <c r="J60" s="112">
        <f>ROUND('2022.'!K60*1.025,0)</f>
        <v>62</v>
      </c>
      <c r="K60" s="112">
        <f t="shared" si="16"/>
        <v>62</v>
      </c>
      <c r="L60" s="110">
        <v>60</v>
      </c>
      <c r="M60" s="112">
        <f t="shared" si="17"/>
        <v>60</v>
      </c>
      <c r="N60" s="37">
        <f>'2022.'!O60*1.025</f>
        <v>582.95773124999994</v>
      </c>
      <c r="O60" s="21">
        <f t="shared" si="4"/>
        <v>34977.463874999994</v>
      </c>
      <c r="P60" s="128">
        <f t="shared" si="5"/>
        <v>2</v>
      </c>
      <c r="Q60" s="128">
        <f t="shared" si="5"/>
        <v>2</v>
      </c>
    </row>
    <row r="61" spans="1:17" ht="15" customHeight="1" x14ac:dyDescent="0.3">
      <c r="A61" s="16">
        <v>51</v>
      </c>
      <c r="B61" s="17" t="s">
        <v>408</v>
      </c>
      <c r="C61" s="26" t="s">
        <v>89</v>
      </c>
      <c r="D61" s="27" t="s">
        <v>6</v>
      </c>
      <c r="E61" s="27">
        <v>1</v>
      </c>
      <c r="F61" s="128">
        <f>'2022.'!Q61</f>
        <v>0</v>
      </c>
      <c r="G61" s="128">
        <f>'2022.'!R61</f>
        <v>0</v>
      </c>
      <c r="H61" s="128">
        <f t="shared" si="2"/>
        <v>0.5</v>
      </c>
      <c r="I61" s="112">
        <f t="shared" si="3"/>
        <v>0.5</v>
      </c>
      <c r="J61" s="112">
        <f>ROUND('2022.'!K61*1.025,0)</f>
        <v>6</v>
      </c>
      <c r="K61" s="112">
        <f t="shared" si="16"/>
        <v>6</v>
      </c>
      <c r="L61" s="110">
        <v>6</v>
      </c>
      <c r="M61" s="112">
        <f t="shared" si="17"/>
        <v>6</v>
      </c>
      <c r="N61" s="37">
        <f>'2022.'!O61*1.025</f>
        <v>153.55781249999998</v>
      </c>
      <c r="O61" s="21">
        <f t="shared" si="4"/>
        <v>921.34687499999995</v>
      </c>
      <c r="P61" s="128">
        <f t="shared" si="5"/>
        <v>0</v>
      </c>
      <c r="Q61" s="128">
        <f t="shared" si="5"/>
        <v>0</v>
      </c>
    </row>
    <row r="62" spans="1:17" ht="26.4" customHeight="1" x14ac:dyDescent="0.3">
      <c r="A62" s="16">
        <v>52</v>
      </c>
      <c r="B62" s="17" t="s">
        <v>408</v>
      </c>
      <c r="C62" s="26" t="s">
        <v>91</v>
      </c>
      <c r="D62" s="27" t="s">
        <v>6</v>
      </c>
      <c r="E62" s="27">
        <v>1</v>
      </c>
      <c r="F62" s="128">
        <f>'2022.'!Q62</f>
        <v>0</v>
      </c>
      <c r="G62" s="128">
        <f>'2022.'!R62</f>
        <v>0</v>
      </c>
      <c r="H62" s="127">
        <f t="shared" si="2"/>
        <v>0.33333333333333331</v>
      </c>
      <c r="I62" s="109">
        <f t="shared" si="3"/>
        <v>0.33333333333333331</v>
      </c>
      <c r="J62" s="112">
        <f>ROUND('2022.'!K62*1.025,0)</f>
        <v>4</v>
      </c>
      <c r="K62" s="112">
        <f t="shared" si="16"/>
        <v>4</v>
      </c>
      <c r="L62" s="110">
        <v>3</v>
      </c>
      <c r="M62" s="112">
        <f t="shared" si="17"/>
        <v>3</v>
      </c>
      <c r="N62" s="37">
        <f>'2022.'!O62*1.025</f>
        <v>361.11569999999995</v>
      </c>
      <c r="O62" s="21">
        <f t="shared" si="4"/>
        <v>1083.3471</v>
      </c>
      <c r="P62" s="128">
        <f t="shared" si="5"/>
        <v>1</v>
      </c>
      <c r="Q62" s="128">
        <f t="shared" si="5"/>
        <v>1</v>
      </c>
    </row>
    <row r="63" spans="1:17" ht="26.4" customHeight="1" x14ac:dyDescent="0.3">
      <c r="A63" s="16">
        <v>53</v>
      </c>
      <c r="B63" s="17" t="s">
        <v>408</v>
      </c>
      <c r="C63" s="26" t="s">
        <v>93</v>
      </c>
      <c r="D63" s="27" t="s">
        <v>6</v>
      </c>
      <c r="E63" s="27">
        <v>1</v>
      </c>
      <c r="F63" s="128">
        <f>'2022.'!Q63</f>
        <v>0</v>
      </c>
      <c r="G63" s="128">
        <f>'2022.'!R63</f>
        <v>0</v>
      </c>
      <c r="H63" s="128">
        <f t="shared" si="2"/>
        <v>0.58333333333333337</v>
      </c>
      <c r="I63" s="112">
        <f t="shared" si="3"/>
        <v>0.58333333333333337</v>
      </c>
      <c r="J63" s="112">
        <f>ROUND('2022.'!K63*1.025,0)</f>
        <v>7</v>
      </c>
      <c r="K63" s="112">
        <f t="shared" si="16"/>
        <v>7</v>
      </c>
      <c r="L63" s="110">
        <v>6</v>
      </c>
      <c r="M63" s="112">
        <f t="shared" si="17"/>
        <v>6</v>
      </c>
      <c r="N63" s="37">
        <f>'2022.'!O63*1.025</f>
        <v>215.66051249999998</v>
      </c>
      <c r="O63" s="21">
        <f t="shared" si="4"/>
        <v>1293.9630749999999</v>
      </c>
      <c r="P63" s="128">
        <f t="shared" si="5"/>
        <v>1</v>
      </c>
      <c r="Q63" s="128">
        <f t="shared" si="5"/>
        <v>1</v>
      </c>
    </row>
    <row r="64" spans="1:17" ht="15" customHeight="1" x14ac:dyDescent="0.3">
      <c r="A64" s="16">
        <v>54</v>
      </c>
      <c r="B64" s="17" t="s">
        <v>408</v>
      </c>
      <c r="C64" s="26" t="s">
        <v>95</v>
      </c>
      <c r="D64" s="27" t="s">
        <v>6</v>
      </c>
      <c r="E64" s="27">
        <v>2</v>
      </c>
      <c r="F64" s="128">
        <f>'2022.'!Q64</f>
        <v>5</v>
      </c>
      <c r="G64" s="128">
        <f>'2022.'!R64</f>
        <v>5</v>
      </c>
      <c r="H64" s="128">
        <f t="shared" si="2"/>
        <v>3.9166666666666665</v>
      </c>
      <c r="I64" s="112">
        <f t="shared" si="3"/>
        <v>3.9166666666666665</v>
      </c>
      <c r="J64" s="112">
        <f>ROUND('2022.'!K64*1.025,0)</f>
        <v>47</v>
      </c>
      <c r="K64" s="112">
        <f t="shared" si="16"/>
        <v>47</v>
      </c>
      <c r="L64" s="110">
        <v>42</v>
      </c>
      <c r="M64" s="112">
        <f t="shared" si="17"/>
        <v>42</v>
      </c>
      <c r="N64" s="37">
        <f>'2022.'!O64*1.025</f>
        <v>236.24379374999998</v>
      </c>
      <c r="O64" s="21">
        <f t="shared" si="4"/>
        <v>9922.2393374999992</v>
      </c>
      <c r="P64" s="128">
        <f t="shared" si="5"/>
        <v>5</v>
      </c>
      <c r="Q64" s="128">
        <f t="shared" si="5"/>
        <v>5</v>
      </c>
    </row>
    <row r="65" spans="1:17" ht="15" customHeight="1" x14ac:dyDescent="0.3">
      <c r="A65" s="16">
        <v>55</v>
      </c>
      <c r="B65" s="17" t="s">
        <v>408</v>
      </c>
      <c r="C65" s="26" t="s">
        <v>97</v>
      </c>
      <c r="D65" s="27" t="s">
        <v>6</v>
      </c>
      <c r="E65" s="27">
        <v>2</v>
      </c>
      <c r="F65" s="128">
        <f>'2022.'!Q65</f>
        <v>6</v>
      </c>
      <c r="G65" s="128">
        <f>'2022.'!R65</f>
        <v>10</v>
      </c>
      <c r="H65" s="128">
        <f t="shared" si="2"/>
        <v>6.666666666666667</v>
      </c>
      <c r="I65" s="112">
        <f t="shared" si="3"/>
        <v>11.083333333333334</v>
      </c>
      <c r="J65" s="112">
        <f>ROUND('2022.'!K65*1.025,0)</f>
        <v>80</v>
      </c>
      <c r="K65" s="112">
        <f t="shared" si="16"/>
        <v>133</v>
      </c>
      <c r="L65" s="110">
        <v>72</v>
      </c>
      <c r="M65" s="112">
        <f t="shared" si="17"/>
        <v>120</v>
      </c>
      <c r="N65" s="37">
        <f>'2022.'!O65*1.025</f>
        <v>354.37222499999996</v>
      </c>
      <c r="O65" s="21">
        <f t="shared" si="4"/>
        <v>42524.666999999994</v>
      </c>
      <c r="P65" s="128">
        <f t="shared" si="5"/>
        <v>8</v>
      </c>
      <c r="Q65" s="128">
        <f t="shared" si="5"/>
        <v>13</v>
      </c>
    </row>
    <row r="66" spans="1:17" ht="27.65" customHeight="1" x14ac:dyDescent="0.3">
      <c r="A66" s="16">
        <v>56</v>
      </c>
      <c r="B66" s="17" t="s">
        <v>408</v>
      </c>
      <c r="C66" s="26" t="s">
        <v>98</v>
      </c>
      <c r="D66" s="27" t="s">
        <v>6</v>
      </c>
      <c r="E66" s="27">
        <v>2</v>
      </c>
      <c r="F66" s="128">
        <f>'2022.'!Q66</f>
        <v>1</v>
      </c>
      <c r="G66" s="128">
        <f>'2022.'!R66</f>
        <v>1</v>
      </c>
      <c r="H66" s="127">
        <f t="shared" si="2"/>
        <v>0.25</v>
      </c>
      <c r="I66" s="109">
        <f t="shared" si="3"/>
        <v>0.25</v>
      </c>
      <c r="J66" s="112">
        <f>ROUND('2022.'!K66*1.025,0)</f>
        <v>3</v>
      </c>
      <c r="K66" s="112">
        <f t="shared" si="16"/>
        <v>3</v>
      </c>
      <c r="L66" s="110">
        <v>3</v>
      </c>
      <c r="M66" s="112">
        <f t="shared" si="17"/>
        <v>3</v>
      </c>
      <c r="N66" s="37">
        <f>'2022.'!O66*1.025</f>
        <v>432.78472499999992</v>
      </c>
      <c r="O66" s="21">
        <f t="shared" si="4"/>
        <v>1298.3541749999997</v>
      </c>
      <c r="P66" s="128">
        <f t="shared" si="5"/>
        <v>0</v>
      </c>
      <c r="Q66" s="128">
        <f t="shared" si="5"/>
        <v>0</v>
      </c>
    </row>
    <row r="67" spans="1:17" ht="15" customHeight="1" x14ac:dyDescent="0.3">
      <c r="A67" s="16">
        <v>57</v>
      </c>
      <c r="B67" s="17" t="s">
        <v>408</v>
      </c>
      <c r="C67" s="26" t="s">
        <v>99</v>
      </c>
      <c r="D67" s="27" t="s">
        <v>6</v>
      </c>
      <c r="E67" s="27">
        <v>2</v>
      </c>
      <c r="F67" s="128">
        <f>'2022.'!Q67</f>
        <v>0</v>
      </c>
      <c r="G67" s="128">
        <f>'2022.'!R67</f>
        <v>0</v>
      </c>
      <c r="H67" s="127">
        <f t="shared" si="2"/>
        <v>0.25</v>
      </c>
      <c r="I67" s="109">
        <f t="shared" si="3"/>
        <v>0.25</v>
      </c>
      <c r="J67" s="112">
        <f>ROUND('2022.'!K67*1.025,0)</f>
        <v>3</v>
      </c>
      <c r="K67" s="112">
        <f t="shared" si="16"/>
        <v>3</v>
      </c>
      <c r="L67" s="110">
        <v>3</v>
      </c>
      <c r="M67" s="112">
        <f t="shared" si="17"/>
        <v>3</v>
      </c>
      <c r="N67" s="37">
        <f>'2022.'!O67*1.025</f>
        <v>465.84866249999988</v>
      </c>
      <c r="O67" s="21">
        <f t="shared" si="4"/>
        <v>1397.5459874999997</v>
      </c>
      <c r="P67" s="128">
        <f t="shared" si="5"/>
        <v>0</v>
      </c>
      <c r="Q67" s="128">
        <f t="shared" si="5"/>
        <v>0</v>
      </c>
    </row>
    <row r="68" spans="1:17" ht="27" customHeight="1" x14ac:dyDescent="0.3">
      <c r="A68" s="16">
        <v>58</v>
      </c>
      <c r="B68" s="17" t="s">
        <v>408</v>
      </c>
      <c r="C68" s="26" t="s">
        <v>101</v>
      </c>
      <c r="D68" s="27" t="s">
        <v>6</v>
      </c>
      <c r="E68" s="27">
        <v>2</v>
      </c>
      <c r="F68" s="128">
        <f>'2022.'!Q68</f>
        <v>1</v>
      </c>
      <c r="G68" s="128">
        <f>'2022.'!R68</f>
        <v>2</v>
      </c>
      <c r="H68" s="128">
        <f t="shared" si="2"/>
        <v>1.0833333333333333</v>
      </c>
      <c r="I68" s="112">
        <f t="shared" si="3"/>
        <v>2.1666666666666665</v>
      </c>
      <c r="J68" s="112">
        <f>ROUND('2022.'!K68*1.025,0)</f>
        <v>13</v>
      </c>
      <c r="K68" s="112">
        <f t="shared" si="16"/>
        <v>26</v>
      </c>
      <c r="L68" s="110">
        <v>12</v>
      </c>
      <c r="M68" s="112">
        <f t="shared" si="17"/>
        <v>24</v>
      </c>
      <c r="N68" s="37">
        <f>'2022.'!O68*1.025</f>
        <v>377.98745624999998</v>
      </c>
      <c r="O68" s="21">
        <f t="shared" si="4"/>
        <v>9071.69895</v>
      </c>
      <c r="P68" s="128">
        <f t="shared" si="5"/>
        <v>1</v>
      </c>
      <c r="Q68" s="128">
        <f t="shared" si="5"/>
        <v>2</v>
      </c>
    </row>
    <row r="69" spans="1:17" ht="27" customHeight="1" x14ac:dyDescent="0.3">
      <c r="A69" s="16">
        <v>59</v>
      </c>
      <c r="B69" s="17" t="s">
        <v>408</v>
      </c>
      <c r="C69" s="26" t="s">
        <v>413</v>
      </c>
      <c r="D69" s="27" t="s">
        <v>6</v>
      </c>
      <c r="E69" s="27">
        <v>2</v>
      </c>
      <c r="F69" s="128">
        <f>'2022.'!Q69</f>
        <v>1</v>
      </c>
      <c r="G69" s="128">
        <f>'2022.'!R69</f>
        <v>1</v>
      </c>
      <c r="H69" s="127">
        <f t="shared" si="2"/>
        <v>0.25</v>
      </c>
      <c r="I69" s="109">
        <f t="shared" si="3"/>
        <v>0.25</v>
      </c>
      <c r="J69" s="112">
        <f>ROUND('2022.'!K69*1.025,0)</f>
        <v>3</v>
      </c>
      <c r="K69" s="112">
        <f t="shared" si="16"/>
        <v>3</v>
      </c>
      <c r="L69" s="110">
        <v>3</v>
      </c>
      <c r="M69" s="112">
        <f t="shared" si="17"/>
        <v>3</v>
      </c>
      <c r="N69" s="37">
        <f>'2022.'!O69*1.025</f>
        <v>393.91826249999997</v>
      </c>
      <c r="O69" s="21">
        <f t="shared" si="4"/>
        <v>1181.7547875</v>
      </c>
      <c r="P69" s="128">
        <f t="shared" si="5"/>
        <v>0</v>
      </c>
      <c r="Q69" s="128">
        <f t="shared" si="5"/>
        <v>0</v>
      </c>
    </row>
    <row r="70" spans="1:17" ht="15" customHeight="1" x14ac:dyDescent="0.3">
      <c r="A70" s="16">
        <v>60</v>
      </c>
      <c r="B70" s="17" t="s">
        <v>408</v>
      </c>
      <c r="C70" s="26" t="s">
        <v>104</v>
      </c>
      <c r="D70" s="27" t="s">
        <v>6</v>
      </c>
      <c r="E70" s="27">
        <v>2</v>
      </c>
      <c r="F70" s="128">
        <f>'2022.'!Q70</f>
        <v>2</v>
      </c>
      <c r="G70" s="128">
        <f>'2022.'!R70</f>
        <v>2</v>
      </c>
      <c r="H70" s="127">
        <f t="shared" si="2"/>
        <v>0.25</v>
      </c>
      <c r="I70" s="109">
        <f t="shared" si="3"/>
        <v>0.25</v>
      </c>
      <c r="J70" s="112">
        <f>ROUND('2022.'!K70*1.025,0)</f>
        <v>3</v>
      </c>
      <c r="K70" s="112">
        <f t="shared" si="16"/>
        <v>3</v>
      </c>
      <c r="L70" s="110">
        <v>3</v>
      </c>
      <c r="M70" s="112">
        <f t="shared" si="17"/>
        <v>3</v>
      </c>
      <c r="N70" s="37">
        <f>'2022.'!O70*1.025</f>
        <v>393.91826249999997</v>
      </c>
      <c r="O70" s="21">
        <f t="shared" si="4"/>
        <v>1181.7547875</v>
      </c>
      <c r="P70" s="128">
        <f t="shared" si="5"/>
        <v>0</v>
      </c>
      <c r="Q70" s="128">
        <f t="shared" si="5"/>
        <v>0</v>
      </c>
    </row>
    <row r="71" spans="1:17" ht="15" customHeight="1" x14ac:dyDescent="0.3">
      <c r="A71" s="16">
        <v>61</v>
      </c>
      <c r="B71" s="17" t="s">
        <v>408</v>
      </c>
      <c r="C71" s="26" t="s">
        <v>106</v>
      </c>
      <c r="D71" s="27" t="s">
        <v>6</v>
      </c>
      <c r="E71" s="27">
        <v>2</v>
      </c>
      <c r="F71" s="128">
        <f>'2022.'!Q71</f>
        <v>0</v>
      </c>
      <c r="G71" s="128">
        <f>'2022.'!R71</f>
        <v>0</v>
      </c>
      <c r="H71" s="128">
        <f t="shared" si="2"/>
        <v>0.83333333333333337</v>
      </c>
      <c r="I71" s="112">
        <f t="shared" si="3"/>
        <v>0.83333333333333337</v>
      </c>
      <c r="J71" s="112">
        <f>ROUND('2022.'!K71*1.025,0)</f>
        <v>10</v>
      </c>
      <c r="K71" s="112">
        <f t="shared" si="16"/>
        <v>10</v>
      </c>
      <c r="L71" s="110">
        <v>9</v>
      </c>
      <c r="M71" s="112">
        <f t="shared" si="17"/>
        <v>9</v>
      </c>
      <c r="N71" s="37">
        <f>'2022.'!O71*1.025</f>
        <v>401.61575624999995</v>
      </c>
      <c r="O71" s="21">
        <f t="shared" si="4"/>
        <v>3614.5418062499994</v>
      </c>
      <c r="P71" s="128">
        <f t="shared" si="5"/>
        <v>1</v>
      </c>
      <c r="Q71" s="128">
        <f t="shared" si="5"/>
        <v>1</v>
      </c>
    </row>
    <row r="72" spans="1:17" ht="15" customHeight="1" x14ac:dyDescent="0.3">
      <c r="A72" s="16">
        <v>62</v>
      </c>
      <c r="B72" s="17" t="s">
        <v>408</v>
      </c>
      <c r="C72" s="26" t="s">
        <v>108</v>
      </c>
      <c r="D72" s="27" t="s">
        <v>6</v>
      </c>
      <c r="E72" s="27">
        <v>2</v>
      </c>
      <c r="F72" s="128">
        <f>'2022.'!Q72</f>
        <v>5</v>
      </c>
      <c r="G72" s="128">
        <f>'2022.'!R72</f>
        <v>10</v>
      </c>
      <c r="H72" s="128">
        <f t="shared" ref="H72:H135" si="18">J72/12</f>
        <v>4.166666666666667</v>
      </c>
      <c r="I72" s="112">
        <f t="shared" ref="I72:I135" si="19">K72/12</f>
        <v>8.3333333333333339</v>
      </c>
      <c r="J72" s="112">
        <f>ROUND('2022.'!K72*1.025,0)</f>
        <v>50</v>
      </c>
      <c r="K72" s="112">
        <f t="shared" si="16"/>
        <v>100</v>
      </c>
      <c r="L72" s="110">
        <v>45</v>
      </c>
      <c r="M72" s="112">
        <f t="shared" si="17"/>
        <v>90</v>
      </c>
      <c r="N72" s="37">
        <f>'2022.'!O72*1.025</f>
        <v>472.48758749999996</v>
      </c>
      <c r="O72" s="21">
        <f t="shared" ref="O72:O135" si="20">N72*M72</f>
        <v>42523.882874999996</v>
      </c>
      <c r="P72" s="128">
        <f t="shared" ref="P72:Q135" si="21">J72-L72</f>
        <v>5</v>
      </c>
      <c r="Q72" s="128">
        <f t="shared" si="21"/>
        <v>10</v>
      </c>
    </row>
    <row r="73" spans="1:17" ht="30.65" customHeight="1" x14ac:dyDescent="0.3">
      <c r="A73" s="16">
        <v>63</v>
      </c>
      <c r="B73" s="17" t="s">
        <v>408</v>
      </c>
      <c r="C73" s="26" t="s">
        <v>109</v>
      </c>
      <c r="D73" s="27" t="s">
        <v>6</v>
      </c>
      <c r="E73" s="27">
        <v>2</v>
      </c>
      <c r="F73" s="128">
        <f>'2022.'!Q73</f>
        <v>0</v>
      </c>
      <c r="G73" s="128">
        <f>'2022.'!R73</f>
        <v>0</v>
      </c>
      <c r="H73" s="127">
        <f t="shared" si="18"/>
        <v>0.25</v>
      </c>
      <c r="I73" s="109">
        <f t="shared" si="19"/>
        <v>0.25</v>
      </c>
      <c r="J73" s="112">
        <f>ROUND('2022.'!K73*1.025,0)</f>
        <v>3</v>
      </c>
      <c r="K73" s="112">
        <f t="shared" si="16"/>
        <v>3</v>
      </c>
      <c r="L73" s="110">
        <v>3</v>
      </c>
      <c r="M73" s="112">
        <f t="shared" si="17"/>
        <v>3</v>
      </c>
      <c r="N73" s="37">
        <f>'2022.'!O73*1.025</f>
        <v>550.90008749999993</v>
      </c>
      <c r="O73" s="21">
        <f t="shared" si="20"/>
        <v>1652.7002624999998</v>
      </c>
      <c r="P73" s="128">
        <f t="shared" si="21"/>
        <v>0</v>
      </c>
      <c r="Q73" s="128">
        <f t="shared" si="21"/>
        <v>0</v>
      </c>
    </row>
    <row r="74" spans="1:17" ht="15" customHeight="1" x14ac:dyDescent="0.3">
      <c r="A74" s="16">
        <v>64</v>
      </c>
      <c r="B74" s="17" t="s">
        <v>408</v>
      </c>
      <c r="C74" s="26" t="s">
        <v>110</v>
      </c>
      <c r="D74" s="27" t="s">
        <v>6</v>
      </c>
      <c r="E74" s="27">
        <v>2</v>
      </c>
      <c r="F74" s="128">
        <f>'2022.'!Q74</f>
        <v>0</v>
      </c>
      <c r="G74" s="128">
        <f>'2022.'!R74</f>
        <v>0</v>
      </c>
      <c r="H74" s="127">
        <f t="shared" si="18"/>
        <v>0.25</v>
      </c>
      <c r="I74" s="109">
        <f t="shared" si="19"/>
        <v>0.25</v>
      </c>
      <c r="J74" s="112">
        <f>ROUND('2022.'!K74*1.025,0)</f>
        <v>3</v>
      </c>
      <c r="K74" s="112">
        <f t="shared" si="16"/>
        <v>3</v>
      </c>
      <c r="L74" s="110">
        <v>3</v>
      </c>
      <c r="M74" s="112">
        <f t="shared" si="17"/>
        <v>3</v>
      </c>
      <c r="N74" s="37">
        <f>'2022.'!O74*1.025</f>
        <v>819.20152499999995</v>
      </c>
      <c r="O74" s="21">
        <f t="shared" si="20"/>
        <v>2457.6045749999998</v>
      </c>
      <c r="P74" s="128">
        <f t="shared" si="21"/>
        <v>0</v>
      </c>
      <c r="Q74" s="128">
        <f t="shared" si="21"/>
        <v>0</v>
      </c>
    </row>
    <row r="75" spans="1:17" ht="15" customHeight="1" x14ac:dyDescent="0.3">
      <c r="A75" s="16">
        <v>65</v>
      </c>
      <c r="B75" s="17" t="s">
        <v>408</v>
      </c>
      <c r="C75" s="26" t="s">
        <v>111</v>
      </c>
      <c r="D75" s="27" t="s">
        <v>6</v>
      </c>
      <c r="E75" s="27">
        <v>2</v>
      </c>
      <c r="F75" s="128">
        <f>'2022.'!Q75</f>
        <v>1</v>
      </c>
      <c r="G75" s="128">
        <f>'2022.'!R75</f>
        <v>1</v>
      </c>
      <c r="H75" s="127">
        <f t="shared" si="18"/>
        <v>0.25</v>
      </c>
      <c r="I75" s="109">
        <f t="shared" si="19"/>
        <v>0.25</v>
      </c>
      <c r="J75" s="112">
        <f>ROUND('2022.'!K75*1.025,0)</f>
        <v>3</v>
      </c>
      <c r="K75" s="112">
        <f t="shared" si="16"/>
        <v>3</v>
      </c>
      <c r="L75" s="110">
        <v>3</v>
      </c>
      <c r="M75" s="112">
        <f t="shared" si="17"/>
        <v>3</v>
      </c>
      <c r="N75" s="37">
        <f>'2022.'!O75*1.025</f>
        <v>8220.8710499999979</v>
      </c>
      <c r="O75" s="21">
        <f t="shared" si="20"/>
        <v>24662.613149999994</v>
      </c>
      <c r="P75" s="128">
        <f t="shared" si="21"/>
        <v>0</v>
      </c>
      <c r="Q75" s="128">
        <f t="shared" si="21"/>
        <v>0</v>
      </c>
    </row>
    <row r="76" spans="1:17" ht="15" customHeight="1" x14ac:dyDescent="0.3">
      <c r="A76" s="16">
        <v>66</v>
      </c>
      <c r="B76" s="17" t="s">
        <v>408</v>
      </c>
      <c r="C76" s="26" t="s">
        <v>113</v>
      </c>
      <c r="D76" s="27" t="s">
        <v>6</v>
      </c>
      <c r="E76" s="27">
        <v>2</v>
      </c>
      <c r="F76" s="128">
        <f>'2022.'!Q76</f>
        <v>3</v>
      </c>
      <c r="G76" s="128">
        <f>'2022.'!R76</f>
        <v>3</v>
      </c>
      <c r="H76" s="128">
        <f t="shared" si="18"/>
        <v>2.5</v>
      </c>
      <c r="I76" s="112">
        <f t="shared" si="19"/>
        <v>2.5</v>
      </c>
      <c r="J76" s="112">
        <f>ROUND('2022.'!K76*1.025,0)</f>
        <v>30</v>
      </c>
      <c r="K76" s="112">
        <f t="shared" si="16"/>
        <v>30</v>
      </c>
      <c r="L76" s="110">
        <v>27</v>
      </c>
      <c r="M76" s="112">
        <f t="shared" si="17"/>
        <v>27</v>
      </c>
      <c r="N76" s="37">
        <f>'2022.'!O76*1.025</f>
        <v>116.52097499999998</v>
      </c>
      <c r="O76" s="21">
        <f t="shared" si="20"/>
        <v>3146.0663249999993</v>
      </c>
      <c r="P76" s="128">
        <f t="shared" si="21"/>
        <v>3</v>
      </c>
      <c r="Q76" s="128">
        <f t="shared" si="21"/>
        <v>3</v>
      </c>
    </row>
    <row r="77" spans="1:17" ht="15" customHeight="1" x14ac:dyDescent="0.3">
      <c r="A77" s="16">
        <v>67</v>
      </c>
      <c r="B77" s="17" t="s">
        <v>408</v>
      </c>
      <c r="C77" s="26" t="s">
        <v>115</v>
      </c>
      <c r="D77" s="27" t="s">
        <v>6</v>
      </c>
      <c r="E77" s="27">
        <v>2</v>
      </c>
      <c r="F77" s="128">
        <f>'2022.'!Q77</f>
        <v>1</v>
      </c>
      <c r="G77" s="128">
        <f>'2022.'!R77</f>
        <v>2</v>
      </c>
      <c r="H77" s="128">
        <f t="shared" si="18"/>
        <v>1.0833333333333333</v>
      </c>
      <c r="I77" s="112">
        <f t="shared" si="19"/>
        <v>2.1666666666666665</v>
      </c>
      <c r="J77" s="112">
        <f>ROUND('2022.'!K77*1.025,0)</f>
        <v>13</v>
      </c>
      <c r="K77" s="112">
        <f t="shared" si="16"/>
        <v>26</v>
      </c>
      <c r="L77" s="110">
        <v>12</v>
      </c>
      <c r="M77" s="112">
        <f t="shared" si="17"/>
        <v>24</v>
      </c>
      <c r="N77" s="37">
        <f>'2022.'!O77*1.025</f>
        <v>352.85624999999999</v>
      </c>
      <c r="O77" s="21">
        <f t="shared" si="20"/>
        <v>8468.5499999999993</v>
      </c>
      <c r="P77" s="128">
        <f t="shared" si="21"/>
        <v>1</v>
      </c>
      <c r="Q77" s="128">
        <f t="shared" si="21"/>
        <v>2</v>
      </c>
    </row>
    <row r="78" spans="1:17" ht="24.65" customHeight="1" x14ac:dyDescent="0.3">
      <c r="A78" s="16">
        <v>68</v>
      </c>
      <c r="B78" s="17" t="s">
        <v>408</v>
      </c>
      <c r="C78" s="26" t="s">
        <v>117</v>
      </c>
      <c r="D78" s="27" t="s">
        <v>6</v>
      </c>
      <c r="E78" s="27">
        <v>2</v>
      </c>
      <c r="F78" s="128">
        <f>'2022.'!Q78</f>
        <v>2</v>
      </c>
      <c r="G78" s="128">
        <f>'2022.'!R78</f>
        <v>2</v>
      </c>
      <c r="H78" s="127">
        <f t="shared" si="18"/>
        <v>0.33333333333333331</v>
      </c>
      <c r="I78" s="109">
        <f t="shared" si="19"/>
        <v>0.33333333333333331</v>
      </c>
      <c r="J78" s="112">
        <f>ROUND('2022.'!K78*1.025,0)</f>
        <v>4</v>
      </c>
      <c r="K78" s="112">
        <f t="shared" si="16"/>
        <v>4</v>
      </c>
      <c r="L78" s="110">
        <v>3</v>
      </c>
      <c r="M78" s="112">
        <f t="shared" si="17"/>
        <v>3</v>
      </c>
      <c r="N78" s="37">
        <f>'2022.'!O78*1.025</f>
        <v>384.22124999999994</v>
      </c>
      <c r="O78" s="21">
        <f t="shared" si="20"/>
        <v>1152.6637499999997</v>
      </c>
      <c r="P78" s="128">
        <f t="shared" si="21"/>
        <v>1</v>
      </c>
      <c r="Q78" s="128">
        <f t="shared" si="21"/>
        <v>1</v>
      </c>
    </row>
    <row r="79" spans="1:17" ht="24.65" customHeight="1" x14ac:dyDescent="0.3">
      <c r="A79" s="16">
        <v>69</v>
      </c>
      <c r="B79" s="17" t="s">
        <v>408</v>
      </c>
      <c r="C79" s="26" t="s">
        <v>119</v>
      </c>
      <c r="D79" s="27" t="s">
        <v>6</v>
      </c>
      <c r="E79" s="27">
        <v>2</v>
      </c>
      <c r="F79" s="128">
        <f>'2022.'!Q79</f>
        <v>1</v>
      </c>
      <c r="G79" s="128">
        <f>'2022.'!R79</f>
        <v>1</v>
      </c>
      <c r="H79" s="128">
        <f t="shared" si="18"/>
        <v>0.58333333333333337</v>
      </c>
      <c r="I79" s="112">
        <f t="shared" si="19"/>
        <v>0.58333333333333337</v>
      </c>
      <c r="J79" s="112">
        <f>ROUND('2022.'!K79*1.025,0)</f>
        <v>7</v>
      </c>
      <c r="K79" s="112">
        <f t="shared" si="16"/>
        <v>7</v>
      </c>
      <c r="L79" s="110">
        <v>6</v>
      </c>
      <c r="M79" s="112">
        <f t="shared" si="17"/>
        <v>6</v>
      </c>
      <c r="N79" s="37">
        <f>'2022.'!O79*1.025</f>
        <v>384.22124999999994</v>
      </c>
      <c r="O79" s="21">
        <f t="shared" si="20"/>
        <v>2305.3274999999994</v>
      </c>
      <c r="P79" s="128">
        <f t="shared" si="21"/>
        <v>1</v>
      </c>
      <c r="Q79" s="128">
        <f t="shared" si="21"/>
        <v>1</v>
      </c>
    </row>
    <row r="80" spans="1:17" ht="15" customHeight="1" x14ac:dyDescent="0.3">
      <c r="A80" s="16">
        <v>70</v>
      </c>
      <c r="B80" s="17" t="s">
        <v>408</v>
      </c>
      <c r="C80" s="26" t="s">
        <v>120</v>
      </c>
      <c r="D80" s="27" t="s">
        <v>6</v>
      </c>
      <c r="E80" s="27">
        <v>2</v>
      </c>
      <c r="F80" s="128">
        <f>'2022.'!Q80</f>
        <v>2</v>
      </c>
      <c r="G80" s="128">
        <f>'2022.'!R80</f>
        <v>2</v>
      </c>
      <c r="H80" s="127">
        <f t="shared" si="18"/>
        <v>0.25</v>
      </c>
      <c r="I80" s="109">
        <f t="shared" si="19"/>
        <v>0.25</v>
      </c>
      <c r="J80" s="112">
        <f>ROUND('2022.'!K80*1.025,0)</f>
        <v>3</v>
      </c>
      <c r="K80" s="112">
        <f t="shared" si="16"/>
        <v>3</v>
      </c>
      <c r="L80" s="110">
        <v>3</v>
      </c>
      <c r="M80" s="112">
        <f t="shared" si="17"/>
        <v>3</v>
      </c>
      <c r="N80" s="37">
        <f>'2022.'!O80*1.025</f>
        <v>980.15624999999977</v>
      </c>
      <c r="O80" s="21">
        <f t="shared" si="20"/>
        <v>2940.4687499999991</v>
      </c>
      <c r="P80" s="128">
        <f t="shared" si="21"/>
        <v>0</v>
      </c>
      <c r="Q80" s="128">
        <f t="shared" si="21"/>
        <v>0</v>
      </c>
    </row>
    <row r="81" spans="1:17" ht="15" customHeight="1" x14ac:dyDescent="0.3">
      <c r="A81" s="16">
        <v>71</v>
      </c>
      <c r="B81" s="17" t="s">
        <v>408</v>
      </c>
      <c r="C81" s="26" t="s">
        <v>122</v>
      </c>
      <c r="D81" s="27" t="s">
        <v>6</v>
      </c>
      <c r="E81" s="27">
        <v>2</v>
      </c>
      <c r="F81" s="128">
        <f>'2022.'!Q81</f>
        <v>1</v>
      </c>
      <c r="G81" s="128">
        <f>'2022.'!R81</f>
        <v>1</v>
      </c>
      <c r="H81" s="128">
        <f t="shared" si="18"/>
        <v>1.0833333333333333</v>
      </c>
      <c r="I81" s="112">
        <f t="shared" si="19"/>
        <v>1.0833333333333333</v>
      </c>
      <c r="J81" s="112">
        <f>ROUND('2022.'!K81*1.025,0)</f>
        <v>13</v>
      </c>
      <c r="K81" s="112">
        <f t="shared" si="16"/>
        <v>13</v>
      </c>
      <c r="L81" s="110">
        <v>12</v>
      </c>
      <c r="M81" s="112">
        <f t="shared" si="17"/>
        <v>12</v>
      </c>
      <c r="N81" s="37">
        <f>'2022.'!O81*1.025</f>
        <v>384.22124999999994</v>
      </c>
      <c r="O81" s="21">
        <f t="shared" si="20"/>
        <v>4610.6549999999988</v>
      </c>
      <c r="P81" s="128">
        <f t="shared" si="21"/>
        <v>1</v>
      </c>
      <c r="Q81" s="128">
        <f t="shared" si="21"/>
        <v>1</v>
      </c>
    </row>
    <row r="82" spans="1:17" ht="15" customHeight="1" x14ac:dyDescent="0.3">
      <c r="A82" s="16">
        <v>72</v>
      </c>
      <c r="B82" s="17" t="s">
        <v>408</v>
      </c>
      <c r="C82" s="26" t="s">
        <v>124</v>
      </c>
      <c r="D82" s="27" t="s">
        <v>6</v>
      </c>
      <c r="E82" s="27">
        <v>2</v>
      </c>
      <c r="F82" s="128">
        <f>'2022.'!Q82</f>
        <v>2</v>
      </c>
      <c r="G82" s="128">
        <f>'2022.'!R82</f>
        <v>2</v>
      </c>
      <c r="H82" s="127">
        <f t="shared" si="18"/>
        <v>0.25</v>
      </c>
      <c r="I82" s="109">
        <f t="shared" si="19"/>
        <v>0.25</v>
      </c>
      <c r="J82" s="112">
        <f>ROUND('2022.'!K82*1.025,0)</f>
        <v>3</v>
      </c>
      <c r="K82" s="112">
        <f t="shared" ref="K82:K145" si="22">ROUND(IF(F82=0,J82,J82*(G82/F82)),0)</f>
        <v>3</v>
      </c>
      <c r="L82" s="110">
        <v>3</v>
      </c>
      <c r="M82" s="112">
        <f t="shared" ref="M82:M145" si="23">ROUND(IF(F82=0,L82,L82*(G82/F82)),0)</f>
        <v>3</v>
      </c>
      <c r="N82" s="37">
        <f>'2022.'!O82*1.025</f>
        <v>431.2687499999999</v>
      </c>
      <c r="O82" s="21">
        <f t="shared" si="20"/>
        <v>1293.8062499999996</v>
      </c>
      <c r="P82" s="128">
        <f t="shared" si="21"/>
        <v>0</v>
      </c>
      <c r="Q82" s="128">
        <f t="shared" si="21"/>
        <v>0</v>
      </c>
    </row>
    <row r="83" spans="1:17" ht="15" customHeight="1" x14ac:dyDescent="0.3">
      <c r="A83" s="16">
        <v>73</v>
      </c>
      <c r="B83" s="17" t="s">
        <v>408</v>
      </c>
      <c r="C83" s="26" t="s">
        <v>126</v>
      </c>
      <c r="D83" s="27" t="s">
        <v>6</v>
      </c>
      <c r="E83" s="27">
        <v>2</v>
      </c>
      <c r="F83" s="128">
        <f>'2022.'!Q83</f>
        <v>2</v>
      </c>
      <c r="G83" s="128">
        <f>'2022.'!R83</f>
        <v>2</v>
      </c>
      <c r="H83" s="127">
        <f t="shared" si="18"/>
        <v>0.25</v>
      </c>
      <c r="I83" s="109">
        <f t="shared" si="19"/>
        <v>0.25</v>
      </c>
      <c r="J83" s="112">
        <f>ROUND('2022.'!K83*1.025,0)</f>
        <v>3</v>
      </c>
      <c r="K83" s="112">
        <f t="shared" si="22"/>
        <v>3</v>
      </c>
      <c r="L83" s="110">
        <v>3</v>
      </c>
      <c r="M83" s="112">
        <f t="shared" si="23"/>
        <v>3</v>
      </c>
      <c r="N83" s="37">
        <f>'2022.'!O83*1.025</f>
        <v>396.97634999999997</v>
      </c>
      <c r="O83" s="21">
        <f t="shared" si="20"/>
        <v>1190.92905</v>
      </c>
      <c r="P83" s="128">
        <f t="shared" si="21"/>
        <v>0</v>
      </c>
      <c r="Q83" s="128">
        <f t="shared" si="21"/>
        <v>0</v>
      </c>
    </row>
    <row r="84" spans="1:17" ht="15" customHeight="1" x14ac:dyDescent="0.3">
      <c r="A84" s="16">
        <v>74</v>
      </c>
      <c r="B84" s="17" t="s">
        <v>408</v>
      </c>
      <c r="C84" s="26" t="s">
        <v>128</v>
      </c>
      <c r="D84" s="27" t="s">
        <v>6</v>
      </c>
      <c r="E84" s="27">
        <v>2</v>
      </c>
      <c r="F84" s="128">
        <f>'2022.'!Q84</f>
        <v>1</v>
      </c>
      <c r="G84" s="128">
        <f>'2022.'!R84</f>
        <v>1</v>
      </c>
      <c r="H84" s="128">
        <f t="shared" si="18"/>
        <v>1.4166666666666667</v>
      </c>
      <c r="I84" s="112">
        <f t="shared" si="19"/>
        <v>1.4166666666666667</v>
      </c>
      <c r="J84" s="112">
        <f>ROUND('2022.'!K84*1.025,0)</f>
        <v>17</v>
      </c>
      <c r="K84" s="112">
        <f t="shared" si="22"/>
        <v>17</v>
      </c>
      <c r="L84" s="110">
        <v>15</v>
      </c>
      <c r="M84" s="112">
        <f t="shared" si="23"/>
        <v>15</v>
      </c>
      <c r="N84" s="37">
        <f>'2022.'!O84*1.025</f>
        <v>718.78124999999989</v>
      </c>
      <c r="O84" s="21">
        <f t="shared" si="20"/>
        <v>10781.718749999998</v>
      </c>
      <c r="P84" s="128">
        <f t="shared" si="21"/>
        <v>2</v>
      </c>
      <c r="Q84" s="128">
        <f t="shared" si="21"/>
        <v>2</v>
      </c>
    </row>
    <row r="85" spans="1:17" ht="15" customHeight="1" x14ac:dyDescent="0.3">
      <c r="A85" s="16">
        <v>75</v>
      </c>
      <c r="B85" s="17" t="s">
        <v>408</v>
      </c>
      <c r="C85" s="26" t="s">
        <v>130</v>
      </c>
      <c r="D85" s="27" t="s">
        <v>6</v>
      </c>
      <c r="E85" s="27">
        <v>2</v>
      </c>
      <c r="F85" s="128">
        <f>'2022.'!Q85</f>
        <v>1</v>
      </c>
      <c r="G85" s="128">
        <f>'2022.'!R85</f>
        <v>1</v>
      </c>
      <c r="H85" s="127">
        <f t="shared" si="18"/>
        <v>0.25</v>
      </c>
      <c r="I85" s="109">
        <f t="shared" si="19"/>
        <v>0.25</v>
      </c>
      <c r="J85" s="112">
        <f>ROUND('2022.'!K85*1.025,0)</f>
        <v>3</v>
      </c>
      <c r="K85" s="112">
        <f t="shared" si="22"/>
        <v>3</v>
      </c>
      <c r="L85" s="110">
        <v>3</v>
      </c>
      <c r="M85" s="112">
        <f t="shared" si="23"/>
        <v>3</v>
      </c>
      <c r="N85" s="37">
        <f>'2022.'!O85*1.025</f>
        <v>588.09375</v>
      </c>
      <c r="O85" s="21">
        <f t="shared" si="20"/>
        <v>1764.28125</v>
      </c>
      <c r="P85" s="128">
        <f t="shared" si="21"/>
        <v>0</v>
      </c>
      <c r="Q85" s="128">
        <f t="shared" si="21"/>
        <v>0</v>
      </c>
    </row>
    <row r="86" spans="1:17" ht="15" customHeight="1" x14ac:dyDescent="0.3">
      <c r="A86" s="16">
        <v>76</v>
      </c>
      <c r="B86" s="17" t="s">
        <v>408</v>
      </c>
      <c r="C86" s="26" t="s">
        <v>132</v>
      </c>
      <c r="D86" s="27" t="s">
        <v>6</v>
      </c>
      <c r="E86" s="27">
        <v>2</v>
      </c>
      <c r="F86" s="128">
        <f>'2022.'!Q86</f>
        <v>2</v>
      </c>
      <c r="G86" s="128">
        <f>'2022.'!R86</f>
        <v>6</v>
      </c>
      <c r="H86" s="128">
        <f t="shared" si="18"/>
        <v>1.5833333333333333</v>
      </c>
      <c r="I86" s="112">
        <f t="shared" si="19"/>
        <v>4.75</v>
      </c>
      <c r="J86" s="112">
        <f>ROUND('2022.'!K86*1.025,0)</f>
        <v>19</v>
      </c>
      <c r="K86" s="112">
        <f t="shared" si="22"/>
        <v>57</v>
      </c>
      <c r="L86" s="110">
        <v>18</v>
      </c>
      <c r="M86" s="112">
        <f t="shared" si="23"/>
        <v>54</v>
      </c>
      <c r="N86" s="37">
        <f>'2022.'!O86*1.025</f>
        <v>741.65156249999995</v>
      </c>
      <c r="O86" s="21">
        <f t="shared" si="20"/>
        <v>40049.184374999997</v>
      </c>
      <c r="P86" s="128">
        <f t="shared" si="21"/>
        <v>1</v>
      </c>
      <c r="Q86" s="128">
        <f t="shared" si="21"/>
        <v>3</v>
      </c>
    </row>
    <row r="87" spans="1:17" ht="15" customHeight="1" x14ac:dyDescent="0.3">
      <c r="A87" s="16">
        <v>77</v>
      </c>
      <c r="B87" s="17" t="s">
        <v>408</v>
      </c>
      <c r="C87" s="26" t="s">
        <v>134</v>
      </c>
      <c r="D87" s="27" t="s">
        <v>6</v>
      </c>
      <c r="E87" s="27">
        <v>2</v>
      </c>
      <c r="F87" s="128">
        <f>'2022.'!Q87</f>
        <v>2</v>
      </c>
      <c r="G87" s="128">
        <f>'2022.'!R87</f>
        <v>2</v>
      </c>
      <c r="H87" s="127">
        <f t="shared" si="18"/>
        <v>0.25</v>
      </c>
      <c r="I87" s="109">
        <f t="shared" si="19"/>
        <v>0.25</v>
      </c>
      <c r="J87" s="112">
        <f>ROUND('2022.'!K87*1.025,0)</f>
        <v>3</v>
      </c>
      <c r="K87" s="112">
        <f t="shared" si="22"/>
        <v>3</v>
      </c>
      <c r="L87" s="110">
        <v>3</v>
      </c>
      <c r="M87" s="112">
        <f t="shared" si="23"/>
        <v>3</v>
      </c>
      <c r="N87" s="37">
        <f>'2022.'!O87*1.025</f>
        <v>522.74999999999989</v>
      </c>
      <c r="O87" s="21">
        <f t="shared" si="20"/>
        <v>1568.2499999999995</v>
      </c>
      <c r="P87" s="128">
        <f t="shared" si="21"/>
        <v>0</v>
      </c>
      <c r="Q87" s="128">
        <f t="shared" si="21"/>
        <v>0</v>
      </c>
    </row>
    <row r="88" spans="1:17" s="15" customFormat="1" ht="15" customHeight="1" x14ac:dyDescent="0.3">
      <c r="A88" s="257" t="s">
        <v>404</v>
      </c>
      <c r="B88" s="257"/>
      <c r="C88" s="257"/>
      <c r="D88" s="257"/>
      <c r="E88" s="257"/>
      <c r="F88" s="126">
        <f t="shared" ref="F88:Q88" si="24">SUM(F89:F113)</f>
        <v>227</v>
      </c>
      <c r="G88" s="126">
        <f t="shared" si="24"/>
        <v>337</v>
      </c>
      <c r="H88" s="126">
        <f t="shared" si="18"/>
        <v>246.91666666666666</v>
      </c>
      <c r="I88" s="126">
        <f t="shared" si="19"/>
        <v>368.83333333333331</v>
      </c>
      <c r="J88" s="126">
        <f>ROUND('2022.'!K88*1.025,0)</f>
        <v>2963</v>
      </c>
      <c r="K88" s="126">
        <f t="shared" si="24"/>
        <v>4426</v>
      </c>
      <c r="L88" s="126">
        <f t="shared" ref="L88" si="25">SUM(L89:L113)</f>
        <v>2667</v>
      </c>
      <c r="M88" s="126">
        <f t="shared" si="24"/>
        <v>3987</v>
      </c>
      <c r="N88" s="38" t="s">
        <v>426</v>
      </c>
      <c r="O88" s="25">
        <f t="shared" si="24"/>
        <v>741953.4060374999</v>
      </c>
      <c r="P88" s="126">
        <f t="shared" si="24"/>
        <v>295</v>
      </c>
      <c r="Q88" s="126">
        <f t="shared" si="24"/>
        <v>439</v>
      </c>
    </row>
    <row r="89" spans="1:17" ht="15" customHeight="1" x14ac:dyDescent="0.3">
      <c r="A89" s="16">
        <v>78</v>
      </c>
      <c r="B89" s="16" t="s">
        <v>409</v>
      </c>
      <c r="C89" s="26" t="s">
        <v>136</v>
      </c>
      <c r="D89" s="27" t="s">
        <v>6</v>
      </c>
      <c r="E89" s="27">
        <v>2</v>
      </c>
      <c r="F89" s="128">
        <f>'2022.'!Q89</f>
        <v>0</v>
      </c>
      <c r="G89" s="128">
        <f>'2022.'!R89</f>
        <v>0</v>
      </c>
      <c r="H89" s="127">
        <f t="shared" si="18"/>
        <v>0.25</v>
      </c>
      <c r="I89" s="109">
        <f t="shared" si="19"/>
        <v>0.25</v>
      </c>
      <c r="J89" s="112">
        <f>ROUND('2022.'!K89*1.025,0)</f>
        <v>3</v>
      </c>
      <c r="K89" s="112">
        <f t="shared" si="22"/>
        <v>3</v>
      </c>
      <c r="L89" s="110">
        <v>3</v>
      </c>
      <c r="M89" s="112">
        <f t="shared" si="23"/>
        <v>3</v>
      </c>
      <c r="N89" s="37">
        <f>'2022.'!O89*1.025</f>
        <v>128.33512499999998</v>
      </c>
      <c r="O89" s="21">
        <f t="shared" si="20"/>
        <v>385.00537499999996</v>
      </c>
      <c r="P89" s="128">
        <f t="shared" si="21"/>
        <v>0</v>
      </c>
      <c r="Q89" s="128">
        <f t="shared" si="21"/>
        <v>0</v>
      </c>
    </row>
    <row r="90" spans="1:17" ht="15" customHeight="1" x14ac:dyDescent="0.3">
      <c r="A90" s="16">
        <v>79</v>
      </c>
      <c r="B90" s="16" t="s">
        <v>409</v>
      </c>
      <c r="C90" s="26" t="s">
        <v>138</v>
      </c>
      <c r="D90" s="27" t="s">
        <v>6</v>
      </c>
      <c r="E90" s="27">
        <v>2</v>
      </c>
      <c r="F90" s="128">
        <f>'2022.'!Q90</f>
        <v>76</v>
      </c>
      <c r="G90" s="128">
        <f>'2022.'!R90</f>
        <v>98</v>
      </c>
      <c r="H90" s="128">
        <f t="shared" si="18"/>
        <v>84.416666666666671</v>
      </c>
      <c r="I90" s="112">
        <f t="shared" si="19"/>
        <v>108.83333333333333</v>
      </c>
      <c r="J90" s="112">
        <f>ROUND('2022.'!K90*1.025,0)</f>
        <v>1013</v>
      </c>
      <c r="K90" s="112">
        <f t="shared" si="22"/>
        <v>1306</v>
      </c>
      <c r="L90" s="110">
        <v>912</v>
      </c>
      <c r="M90" s="112">
        <f t="shared" si="23"/>
        <v>1176</v>
      </c>
      <c r="N90" s="37">
        <f>'2022.'!O90*1.025</f>
        <v>160.41890624999999</v>
      </c>
      <c r="O90" s="21">
        <f t="shared" si="20"/>
        <v>188652.63374999998</v>
      </c>
      <c r="P90" s="128">
        <f t="shared" si="21"/>
        <v>101</v>
      </c>
      <c r="Q90" s="128">
        <f t="shared" si="21"/>
        <v>130</v>
      </c>
    </row>
    <row r="91" spans="1:17" ht="15" customHeight="1" x14ac:dyDescent="0.3">
      <c r="A91" s="16">
        <v>80</v>
      </c>
      <c r="B91" s="16" t="s">
        <v>409</v>
      </c>
      <c r="C91" s="26" t="s">
        <v>140</v>
      </c>
      <c r="D91" s="27" t="s">
        <v>6</v>
      </c>
      <c r="E91" s="27">
        <v>2</v>
      </c>
      <c r="F91" s="128">
        <f>'2022.'!Q91</f>
        <v>1</v>
      </c>
      <c r="G91" s="128">
        <f>'2022.'!R91</f>
        <v>1</v>
      </c>
      <c r="H91" s="128">
        <f t="shared" si="18"/>
        <v>0.58333333333333337</v>
      </c>
      <c r="I91" s="112">
        <f t="shared" si="19"/>
        <v>0.58333333333333337</v>
      </c>
      <c r="J91" s="112">
        <f>ROUND('2022.'!K91*1.025,0)</f>
        <v>7</v>
      </c>
      <c r="K91" s="112">
        <f t="shared" si="22"/>
        <v>7</v>
      </c>
      <c r="L91" s="110">
        <v>6</v>
      </c>
      <c r="M91" s="112">
        <f t="shared" si="23"/>
        <v>6</v>
      </c>
      <c r="N91" s="37">
        <f>'2022.'!O91*1.025</f>
        <v>18.217837499999998</v>
      </c>
      <c r="O91" s="21">
        <f t="shared" si="20"/>
        <v>109.30702499999998</v>
      </c>
      <c r="P91" s="128">
        <f t="shared" si="21"/>
        <v>1</v>
      </c>
      <c r="Q91" s="128">
        <f t="shared" si="21"/>
        <v>1</v>
      </c>
    </row>
    <row r="92" spans="1:17" ht="15" customHeight="1" x14ac:dyDescent="0.3">
      <c r="A92" s="16">
        <v>81</v>
      </c>
      <c r="B92" s="16" t="s">
        <v>409</v>
      </c>
      <c r="C92" s="26" t="s">
        <v>142</v>
      </c>
      <c r="D92" s="27" t="s">
        <v>6</v>
      </c>
      <c r="E92" s="27">
        <v>2</v>
      </c>
      <c r="F92" s="128">
        <f>'2022.'!Q92</f>
        <v>4</v>
      </c>
      <c r="G92" s="128">
        <f>'2022.'!R92</f>
        <v>5</v>
      </c>
      <c r="H92" s="128">
        <f t="shared" si="18"/>
        <v>4.416666666666667</v>
      </c>
      <c r="I92" s="112">
        <f t="shared" si="19"/>
        <v>5.5</v>
      </c>
      <c r="J92" s="112">
        <f>ROUND('2022.'!K92*1.025,0)</f>
        <v>53</v>
      </c>
      <c r="K92" s="112">
        <f t="shared" si="22"/>
        <v>66</v>
      </c>
      <c r="L92" s="110">
        <v>48</v>
      </c>
      <c r="M92" s="112">
        <f t="shared" si="23"/>
        <v>60</v>
      </c>
      <c r="N92" s="37">
        <f>'2022.'!O92*1.025</f>
        <v>203.20599374999998</v>
      </c>
      <c r="O92" s="21">
        <f t="shared" si="20"/>
        <v>12192.359624999999</v>
      </c>
      <c r="P92" s="128">
        <f t="shared" si="21"/>
        <v>5</v>
      </c>
      <c r="Q92" s="128">
        <f t="shared" si="21"/>
        <v>6</v>
      </c>
    </row>
    <row r="93" spans="1:17" ht="15" customHeight="1" x14ac:dyDescent="0.3">
      <c r="A93" s="16">
        <v>82</v>
      </c>
      <c r="B93" s="16" t="s">
        <v>409</v>
      </c>
      <c r="C93" s="26" t="s">
        <v>144</v>
      </c>
      <c r="D93" s="27" t="s">
        <v>6</v>
      </c>
      <c r="E93" s="27">
        <v>2</v>
      </c>
      <c r="F93" s="128">
        <f>'2022.'!Q93</f>
        <v>9</v>
      </c>
      <c r="G93" s="128">
        <f>'2022.'!R93</f>
        <v>10</v>
      </c>
      <c r="H93" s="128">
        <f t="shared" si="18"/>
        <v>10</v>
      </c>
      <c r="I93" s="112">
        <f t="shared" si="19"/>
        <v>11.083333333333334</v>
      </c>
      <c r="J93" s="112">
        <f>ROUND('2022.'!K93*1.025,0)</f>
        <v>120</v>
      </c>
      <c r="K93" s="112">
        <f t="shared" si="22"/>
        <v>133</v>
      </c>
      <c r="L93" s="110">
        <v>108</v>
      </c>
      <c r="M93" s="112">
        <f t="shared" si="23"/>
        <v>120</v>
      </c>
      <c r="N93" s="37">
        <f>'2022.'!O93*1.025</f>
        <v>213.89623124999994</v>
      </c>
      <c r="O93" s="21">
        <f t="shared" si="20"/>
        <v>25667.547749999994</v>
      </c>
      <c r="P93" s="128">
        <f t="shared" si="21"/>
        <v>12</v>
      </c>
      <c r="Q93" s="128">
        <f t="shared" si="21"/>
        <v>13</v>
      </c>
    </row>
    <row r="94" spans="1:17" ht="15" customHeight="1" x14ac:dyDescent="0.3">
      <c r="A94" s="16">
        <v>83</v>
      </c>
      <c r="B94" s="16" t="s">
        <v>409</v>
      </c>
      <c r="C94" s="26" t="s">
        <v>146</v>
      </c>
      <c r="D94" s="27" t="s">
        <v>6</v>
      </c>
      <c r="E94" s="27">
        <v>2</v>
      </c>
      <c r="F94" s="128">
        <f>'2022.'!Q94</f>
        <v>5</v>
      </c>
      <c r="G94" s="128">
        <f>'2022.'!R94</f>
        <v>6</v>
      </c>
      <c r="H94" s="128">
        <f t="shared" si="18"/>
        <v>5.583333333333333</v>
      </c>
      <c r="I94" s="112">
        <f t="shared" si="19"/>
        <v>6.666666666666667</v>
      </c>
      <c r="J94" s="112">
        <f>ROUND('2022.'!K94*1.025,0)</f>
        <v>67</v>
      </c>
      <c r="K94" s="112">
        <f t="shared" si="22"/>
        <v>80</v>
      </c>
      <c r="L94" s="110">
        <v>60</v>
      </c>
      <c r="M94" s="112">
        <f t="shared" si="23"/>
        <v>72</v>
      </c>
      <c r="N94" s="37">
        <f>'2022.'!O94*1.025</f>
        <v>85.561106249999995</v>
      </c>
      <c r="O94" s="21">
        <f t="shared" si="20"/>
        <v>6160.3996499999994</v>
      </c>
      <c r="P94" s="128">
        <f t="shared" si="21"/>
        <v>7</v>
      </c>
      <c r="Q94" s="128">
        <f t="shared" si="21"/>
        <v>8</v>
      </c>
    </row>
    <row r="95" spans="1:17" ht="15" customHeight="1" x14ac:dyDescent="0.3">
      <c r="A95" s="16">
        <v>84</v>
      </c>
      <c r="B95" s="16" t="s">
        <v>409</v>
      </c>
      <c r="C95" s="26" t="s">
        <v>148</v>
      </c>
      <c r="D95" s="27" t="s">
        <v>6</v>
      </c>
      <c r="E95" s="27">
        <v>2</v>
      </c>
      <c r="F95" s="128">
        <f>'2022.'!Q95</f>
        <v>0</v>
      </c>
      <c r="G95" s="128">
        <f>'2022.'!R95</f>
        <v>0</v>
      </c>
      <c r="H95" s="127">
        <f t="shared" si="18"/>
        <v>0.33333333333333331</v>
      </c>
      <c r="I95" s="109">
        <f t="shared" si="19"/>
        <v>0.33333333333333331</v>
      </c>
      <c r="J95" s="112">
        <f>ROUND('2022.'!K95*1.025,0)</f>
        <v>4</v>
      </c>
      <c r="K95" s="112">
        <f t="shared" si="22"/>
        <v>4</v>
      </c>
      <c r="L95" s="110">
        <v>3</v>
      </c>
      <c r="M95" s="112">
        <f t="shared" si="23"/>
        <v>3</v>
      </c>
      <c r="N95" s="37">
        <f>'2022.'!O95*1.025</f>
        <v>203.20599374999998</v>
      </c>
      <c r="O95" s="21">
        <f t="shared" si="20"/>
        <v>609.61798124999996</v>
      </c>
      <c r="P95" s="128">
        <f t="shared" si="21"/>
        <v>1</v>
      </c>
      <c r="Q95" s="128">
        <f t="shared" si="21"/>
        <v>1</v>
      </c>
    </row>
    <row r="96" spans="1:17" ht="15" customHeight="1" x14ac:dyDescent="0.3">
      <c r="A96" s="16">
        <v>85</v>
      </c>
      <c r="B96" s="16" t="s">
        <v>409</v>
      </c>
      <c r="C96" s="26" t="s">
        <v>150</v>
      </c>
      <c r="D96" s="27" t="s">
        <v>6</v>
      </c>
      <c r="E96" s="27">
        <v>2</v>
      </c>
      <c r="F96" s="128">
        <f>'2022.'!Q96</f>
        <v>1</v>
      </c>
      <c r="G96" s="128">
        <f>'2022.'!R96</f>
        <v>1</v>
      </c>
      <c r="H96" s="128">
        <f t="shared" si="18"/>
        <v>1.0833333333333333</v>
      </c>
      <c r="I96" s="112">
        <f t="shared" si="19"/>
        <v>1.0833333333333333</v>
      </c>
      <c r="J96" s="112">
        <f>ROUND('2022.'!K96*1.025,0)</f>
        <v>13</v>
      </c>
      <c r="K96" s="112">
        <f t="shared" si="22"/>
        <v>13</v>
      </c>
      <c r="L96" s="110">
        <v>12</v>
      </c>
      <c r="M96" s="112">
        <f t="shared" si="23"/>
        <v>12</v>
      </c>
      <c r="N96" s="37">
        <f>'2022.'!O96*1.025</f>
        <v>299.45733749999994</v>
      </c>
      <c r="O96" s="21">
        <f t="shared" si="20"/>
        <v>3593.488049999999</v>
      </c>
      <c r="P96" s="128">
        <f t="shared" si="21"/>
        <v>1</v>
      </c>
      <c r="Q96" s="128">
        <f t="shared" si="21"/>
        <v>1</v>
      </c>
    </row>
    <row r="97" spans="1:17" ht="15" customHeight="1" x14ac:dyDescent="0.3">
      <c r="A97" s="16">
        <v>86</v>
      </c>
      <c r="B97" s="16" t="s">
        <v>409</v>
      </c>
      <c r="C97" s="26" t="s">
        <v>152</v>
      </c>
      <c r="D97" s="27" t="s">
        <v>6</v>
      </c>
      <c r="E97" s="27">
        <v>2</v>
      </c>
      <c r="F97" s="128">
        <f>'2022.'!Q97</f>
        <v>3</v>
      </c>
      <c r="G97" s="128">
        <f>'2022.'!R97</f>
        <v>3</v>
      </c>
      <c r="H97" s="128">
        <f t="shared" si="18"/>
        <v>3.3333333333333335</v>
      </c>
      <c r="I97" s="112">
        <f t="shared" si="19"/>
        <v>3.3333333333333335</v>
      </c>
      <c r="J97" s="112">
        <f>ROUND('2022.'!K97*1.025,0)</f>
        <v>40</v>
      </c>
      <c r="K97" s="112">
        <f t="shared" si="22"/>
        <v>40</v>
      </c>
      <c r="L97" s="110">
        <v>36</v>
      </c>
      <c r="M97" s="112">
        <f t="shared" si="23"/>
        <v>36</v>
      </c>
      <c r="N97" s="37">
        <f>'2022.'!O97*1.025</f>
        <v>128.33512499999998</v>
      </c>
      <c r="O97" s="21">
        <f t="shared" si="20"/>
        <v>4620.0644999999995</v>
      </c>
      <c r="P97" s="128">
        <f t="shared" si="21"/>
        <v>4</v>
      </c>
      <c r="Q97" s="128">
        <f t="shared" si="21"/>
        <v>4</v>
      </c>
    </row>
    <row r="98" spans="1:17" ht="15" customHeight="1" x14ac:dyDescent="0.3">
      <c r="A98" s="16">
        <v>87</v>
      </c>
      <c r="B98" s="16" t="s">
        <v>409</v>
      </c>
      <c r="C98" s="26" t="s">
        <v>153</v>
      </c>
      <c r="D98" s="27" t="s">
        <v>6</v>
      </c>
      <c r="E98" s="27">
        <v>2</v>
      </c>
      <c r="F98" s="128">
        <f>'2022.'!Q98</f>
        <v>0</v>
      </c>
      <c r="G98" s="128">
        <f>'2022.'!R98</f>
        <v>0</v>
      </c>
      <c r="H98" s="127">
        <f t="shared" si="18"/>
        <v>0.25</v>
      </c>
      <c r="I98" s="109">
        <f t="shared" si="19"/>
        <v>0.25</v>
      </c>
      <c r="J98" s="112">
        <f>ROUND('2022.'!K98*1.025,0)</f>
        <v>3</v>
      </c>
      <c r="K98" s="112">
        <f t="shared" si="22"/>
        <v>3</v>
      </c>
      <c r="L98" s="110">
        <v>3</v>
      </c>
      <c r="M98" s="112">
        <f t="shared" si="23"/>
        <v>3</v>
      </c>
      <c r="N98" s="37">
        <f>'2022.'!O98*1.025</f>
        <v>128.33512499999998</v>
      </c>
      <c r="O98" s="21">
        <f t="shared" si="20"/>
        <v>385.00537499999996</v>
      </c>
      <c r="P98" s="128">
        <f t="shared" si="21"/>
        <v>0</v>
      </c>
      <c r="Q98" s="128">
        <f t="shared" si="21"/>
        <v>0</v>
      </c>
    </row>
    <row r="99" spans="1:17" ht="15" customHeight="1" x14ac:dyDescent="0.3">
      <c r="A99" s="16">
        <v>88</v>
      </c>
      <c r="B99" s="16" t="s">
        <v>409</v>
      </c>
      <c r="C99" s="26" t="s">
        <v>155</v>
      </c>
      <c r="D99" s="27" t="s">
        <v>6</v>
      </c>
      <c r="E99" s="27">
        <v>2</v>
      </c>
      <c r="F99" s="128">
        <f>'2022.'!Q99</f>
        <v>44</v>
      </c>
      <c r="G99" s="128">
        <f>'2022.'!R99</f>
        <v>85</v>
      </c>
      <c r="H99" s="128">
        <f t="shared" si="18"/>
        <v>48.833333333333336</v>
      </c>
      <c r="I99" s="112">
        <f t="shared" si="19"/>
        <v>94.333333333333329</v>
      </c>
      <c r="J99" s="112">
        <f>ROUND('2022.'!K99*1.025,0)</f>
        <v>586</v>
      </c>
      <c r="K99" s="112">
        <f t="shared" si="22"/>
        <v>1132</v>
      </c>
      <c r="L99" s="110">
        <v>528</v>
      </c>
      <c r="M99" s="112">
        <f t="shared" si="23"/>
        <v>1020</v>
      </c>
      <c r="N99" s="37">
        <f>'2022.'!O99*1.025</f>
        <v>192.50268749999998</v>
      </c>
      <c r="O99" s="21">
        <f t="shared" si="20"/>
        <v>196352.74124999999</v>
      </c>
      <c r="P99" s="128">
        <f t="shared" si="21"/>
        <v>58</v>
      </c>
      <c r="Q99" s="128">
        <f t="shared" si="21"/>
        <v>112</v>
      </c>
    </row>
    <row r="100" spans="1:17" ht="15" customHeight="1" x14ac:dyDescent="0.3">
      <c r="A100" s="16">
        <v>89</v>
      </c>
      <c r="B100" s="16" t="s">
        <v>409</v>
      </c>
      <c r="C100" s="26" t="s">
        <v>157</v>
      </c>
      <c r="D100" s="27" t="s">
        <v>6</v>
      </c>
      <c r="E100" s="27">
        <v>2</v>
      </c>
      <c r="F100" s="128">
        <f>'2022.'!Q100</f>
        <v>18</v>
      </c>
      <c r="G100" s="128">
        <f>'2022.'!R100</f>
        <v>30</v>
      </c>
      <c r="H100" s="128">
        <f t="shared" si="18"/>
        <v>20</v>
      </c>
      <c r="I100" s="112">
        <f t="shared" si="19"/>
        <v>33.333333333333336</v>
      </c>
      <c r="J100" s="112">
        <f>ROUND('2022.'!K100*1.025,0)</f>
        <v>240</v>
      </c>
      <c r="K100" s="112">
        <f t="shared" si="22"/>
        <v>400</v>
      </c>
      <c r="L100" s="110">
        <v>216</v>
      </c>
      <c r="M100" s="112">
        <f t="shared" si="23"/>
        <v>360</v>
      </c>
      <c r="N100" s="37">
        <f>'2022.'!O100*1.025</f>
        <v>213.89623124999994</v>
      </c>
      <c r="O100" s="21">
        <f t="shared" si="20"/>
        <v>77002.643249999979</v>
      </c>
      <c r="P100" s="128">
        <f t="shared" si="21"/>
        <v>24</v>
      </c>
      <c r="Q100" s="128">
        <f t="shared" si="21"/>
        <v>40</v>
      </c>
    </row>
    <row r="101" spans="1:17" ht="15" customHeight="1" x14ac:dyDescent="0.3">
      <c r="A101" s="16">
        <v>90</v>
      </c>
      <c r="B101" s="16" t="s">
        <v>409</v>
      </c>
      <c r="C101" s="26" t="s">
        <v>159</v>
      </c>
      <c r="D101" s="27" t="s">
        <v>6</v>
      </c>
      <c r="E101" s="27">
        <v>2</v>
      </c>
      <c r="F101" s="128">
        <f>'2022.'!Q101</f>
        <v>5</v>
      </c>
      <c r="G101" s="128">
        <f>'2022.'!R101</f>
        <v>6</v>
      </c>
      <c r="H101" s="128">
        <f t="shared" si="18"/>
        <v>5.583333333333333</v>
      </c>
      <c r="I101" s="112">
        <f t="shared" si="19"/>
        <v>6.666666666666667</v>
      </c>
      <c r="J101" s="112">
        <f>ROUND('2022.'!K101*1.025,0)</f>
        <v>67</v>
      </c>
      <c r="K101" s="112">
        <f t="shared" si="22"/>
        <v>80</v>
      </c>
      <c r="L101" s="110">
        <v>60</v>
      </c>
      <c r="M101" s="112">
        <f t="shared" si="23"/>
        <v>72</v>
      </c>
      <c r="N101" s="37">
        <f>'2022.'!O101*1.025</f>
        <v>139.03843124999997</v>
      </c>
      <c r="O101" s="21">
        <f t="shared" si="20"/>
        <v>10010.767049999999</v>
      </c>
      <c r="P101" s="128">
        <f t="shared" si="21"/>
        <v>7</v>
      </c>
      <c r="Q101" s="128">
        <f t="shared" si="21"/>
        <v>8</v>
      </c>
    </row>
    <row r="102" spans="1:17" ht="15" customHeight="1" x14ac:dyDescent="0.3">
      <c r="A102" s="16">
        <v>91</v>
      </c>
      <c r="B102" s="16" t="s">
        <v>409</v>
      </c>
      <c r="C102" s="26" t="s">
        <v>161</v>
      </c>
      <c r="D102" s="27" t="s">
        <v>6</v>
      </c>
      <c r="E102" s="27">
        <v>2</v>
      </c>
      <c r="F102" s="128">
        <f>'2022.'!Q102</f>
        <v>1</v>
      </c>
      <c r="G102" s="128">
        <f>'2022.'!R102</f>
        <v>1</v>
      </c>
      <c r="H102" s="127">
        <f t="shared" si="18"/>
        <v>0.25</v>
      </c>
      <c r="I102" s="109">
        <f t="shared" si="19"/>
        <v>0.25</v>
      </c>
      <c r="J102" s="112">
        <f>ROUND('2022.'!K102*1.025,0)</f>
        <v>3</v>
      </c>
      <c r="K102" s="112">
        <f t="shared" si="22"/>
        <v>3</v>
      </c>
      <c r="L102" s="110">
        <v>3</v>
      </c>
      <c r="M102" s="112">
        <f t="shared" si="23"/>
        <v>3</v>
      </c>
      <c r="N102" s="37">
        <f>'2022.'!O102*1.025</f>
        <v>224.58646874999997</v>
      </c>
      <c r="O102" s="21">
        <f t="shared" si="20"/>
        <v>673.75940624999987</v>
      </c>
      <c r="P102" s="128">
        <f t="shared" si="21"/>
        <v>0</v>
      </c>
      <c r="Q102" s="128">
        <f t="shared" si="21"/>
        <v>0</v>
      </c>
    </row>
    <row r="103" spans="1:17" ht="15" customHeight="1" x14ac:dyDescent="0.3">
      <c r="A103" s="16">
        <v>92</v>
      </c>
      <c r="B103" s="16" t="s">
        <v>409</v>
      </c>
      <c r="C103" s="26" t="s">
        <v>163</v>
      </c>
      <c r="D103" s="27" t="s">
        <v>6</v>
      </c>
      <c r="E103" s="27">
        <v>2</v>
      </c>
      <c r="F103" s="128">
        <f>'2022.'!Q103</f>
        <v>2</v>
      </c>
      <c r="G103" s="128">
        <f>'2022.'!R103</f>
        <v>3</v>
      </c>
      <c r="H103" s="128">
        <f t="shared" si="18"/>
        <v>2.25</v>
      </c>
      <c r="I103" s="112">
        <f t="shared" si="19"/>
        <v>3.4166666666666665</v>
      </c>
      <c r="J103" s="112">
        <f>ROUND('2022.'!K103*1.025,0)</f>
        <v>27</v>
      </c>
      <c r="K103" s="112">
        <f t="shared" si="22"/>
        <v>41</v>
      </c>
      <c r="L103" s="110">
        <v>24</v>
      </c>
      <c r="M103" s="112">
        <f t="shared" si="23"/>
        <v>36</v>
      </c>
      <c r="N103" s="37">
        <f>'2022.'!O103*1.025</f>
        <v>235.28977499999996</v>
      </c>
      <c r="O103" s="21">
        <f t="shared" si="20"/>
        <v>8470.4318999999996</v>
      </c>
      <c r="P103" s="128">
        <f t="shared" si="21"/>
        <v>3</v>
      </c>
      <c r="Q103" s="128">
        <f t="shared" si="21"/>
        <v>5</v>
      </c>
    </row>
    <row r="104" spans="1:17" ht="15" customHeight="1" x14ac:dyDescent="0.3">
      <c r="A104" s="16">
        <v>93</v>
      </c>
      <c r="B104" s="16" t="s">
        <v>409</v>
      </c>
      <c r="C104" s="26" t="s">
        <v>165</v>
      </c>
      <c r="D104" s="27" t="s">
        <v>6</v>
      </c>
      <c r="E104" s="27">
        <v>2</v>
      </c>
      <c r="F104" s="128">
        <f>'2022.'!Q104</f>
        <v>3</v>
      </c>
      <c r="G104" s="128">
        <f>'2022.'!R104</f>
        <v>4</v>
      </c>
      <c r="H104" s="128">
        <f t="shared" si="18"/>
        <v>3.3333333333333335</v>
      </c>
      <c r="I104" s="112">
        <f t="shared" si="19"/>
        <v>4.416666666666667</v>
      </c>
      <c r="J104" s="112">
        <f>ROUND('2022.'!K104*1.025,0)</f>
        <v>40</v>
      </c>
      <c r="K104" s="112">
        <f t="shared" si="22"/>
        <v>53</v>
      </c>
      <c r="L104" s="110">
        <v>36</v>
      </c>
      <c r="M104" s="112">
        <f t="shared" si="23"/>
        <v>48</v>
      </c>
      <c r="N104" s="37">
        <f>'2022.'!O104*1.025</f>
        <v>23.811262499999994</v>
      </c>
      <c r="O104" s="21">
        <f t="shared" si="20"/>
        <v>1142.9405999999997</v>
      </c>
      <c r="P104" s="128">
        <f t="shared" si="21"/>
        <v>4</v>
      </c>
      <c r="Q104" s="128">
        <f t="shared" si="21"/>
        <v>5</v>
      </c>
    </row>
    <row r="105" spans="1:17" ht="15" customHeight="1" x14ac:dyDescent="0.3">
      <c r="A105" s="16">
        <v>94</v>
      </c>
      <c r="B105" s="16" t="s">
        <v>409</v>
      </c>
      <c r="C105" s="26" t="s">
        <v>167</v>
      </c>
      <c r="D105" s="27" t="s">
        <v>6</v>
      </c>
      <c r="E105" s="27">
        <v>2</v>
      </c>
      <c r="F105" s="128">
        <f>'2022.'!Q105</f>
        <v>1</v>
      </c>
      <c r="G105" s="128">
        <f>'2022.'!R105</f>
        <v>1</v>
      </c>
      <c r="H105" s="127">
        <f t="shared" si="18"/>
        <v>0.33333333333333331</v>
      </c>
      <c r="I105" s="109">
        <f t="shared" si="19"/>
        <v>0.33333333333333331</v>
      </c>
      <c r="J105" s="112">
        <f>ROUND('2022.'!K105*1.025,0)</f>
        <v>4</v>
      </c>
      <c r="K105" s="112">
        <f t="shared" si="22"/>
        <v>4</v>
      </c>
      <c r="L105" s="110">
        <v>3</v>
      </c>
      <c r="M105" s="112">
        <f t="shared" si="23"/>
        <v>3</v>
      </c>
      <c r="N105" s="37">
        <f>'2022.'!O105*1.025</f>
        <v>254.05649999999997</v>
      </c>
      <c r="O105" s="21">
        <f t="shared" si="20"/>
        <v>762.16949999999997</v>
      </c>
      <c r="P105" s="128">
        <f t="shared" si="21"/>
        <v>1</v>
      </c>
      <c r="Q105" s="128">
        <f t="shared" si="21"/>
        <v>1</v>
      </c>
    </row>
    <row r="106" spans="1:17" ht="15" customHeight="1" x14ac:dyDescent="0.3">
      <c r="A106" s="16">
        <v>95</v>
      </c>
      <c r="B106" s="16" t="s">
        <v>409</v>
      </c>
      <c r="C106" s="26" t="s">
        <v>169</v>
      </c>
      <c r="D106" s="27" t="s">
        <v>6</v>
      </c>
      <c r="E106" s="27">
        <v>2</v>
      </c>
      <c r="F106" s="128">
        <f>'2022.'!Q106</f>
        <v>10</v>
      </c>
      <c r="G106" s="128">
        <f>'2022.'!R106</f>
        <v>15</v>
      </c>
      <c r="H106" s="128">
        <f t="shared" si="18"/>
        <v>11.083333333333334</v>
      </c>
      <c r="I106" s="112">
        <f t="shared" si="19"/>
        <v>16.666666666666668</v>
      </c>
      <c r="J106" s="112">
        <f>ROUND('2022.'!K106*1.025,0)</f>
        <v>133</v>
      </c>
      <c r="K106" s="112">
        <f t="shared" si="22"/>
        <v>200</v>
      </c>
      <c r="L106" s="110">
        <v>120</v>
      </c>
      <c r="M106" s="112">
        <f t="shared" si="23"/>
        <v>180</v>
      </c>
      <c r="N106" s="37">
        <f>'2022.'!O106*1.025</f>
        <v>192.63849999999999</v>
      </c>
      <c r="O106" s="21">
        <f t="shared" si="20"/>
        <v>34674.93</v>
      </c>
      <c r="P106" s="128">
        <f t="shared" si="21"/>
        <v>13</v>
      </c>
      <c r="Q106" s="128">
        <f t="shared" si="21"/>
        <v>20</v>
      </c>
    </row>
    <row r="107" spans="1:17" ht="15" customHeight="1" x14ac:dyDescent="0.3">
      <c r="A107" s="16">
        <v>96</v>
      </c>
      <c r="B107" s="16" t="s">
        <v>409</v>
      </c>
      <c r="C107" s="26" t="s">
        <v>171</v>
      </c>
      <c r="D107" s="27" t="s">
        <v>6</v>
      </c>
      <c r="E107" s="27">
        <v>2</v>
      </c>
      <c r="F107" s="128">
        <f>'2022.'!Q107</f>
        <v>37</v>
      </c>
      <c r="G107" s="128">
        <f>'2022.'!R107</f>
        <v>59</v>
      </c>
      <c r="H107" s="128">
        <f t="shared" si="18"/>
        <v>41.083333333333336</v>
      </c>
      <c r="I107" s="112">
        <f t="shared" si="19"/>
        <v>65.5</v>
      </c>
      <c r="J107" s="112">
        <f>ROUND('2022.'!K107*1.025,0)</f>
        <v>493</v>
      </c>
      <c r="K107" s="112">
        <f t="shared" si="22"/>
        <v>786</v>
      </c>
      <c r="L107" s="110">
        <v>444</v>
      </c>
      <c r="M107" s="112">
        <f t="shared" si="23"/>
        <v>708</v>
      </c>
      <c r="N107" s="37">
        <f>'2022.'!O107*1.025</f>
        <v>212.91299999999998</v>
      </c>
      <c r="O107" s="21">
        <f t="shared" si="20"/>
        <v>150742.40399999998</v>
      </c>
      <c r="P107" s="128">
        <f t="shared" si="21"/>
        <v>49</v>
      </c>
      <c r="Q107" s="128">
        <f t="shared" si="21"/>
        <v>78</v>
      </c>
    </row>
    <row r="108" spans="1:17" ht="15" customHeight="1" x14ac:dyDescent="0.3">
      <c r="A108" s="16">
        <v>97</v>
      </c>
      <c r="B108" s="16" t="s">
        <v>409</v>
      </c>
      <c r="C108" s="26" t="s">
        <v>172</v>
      </c>
      <c r="D108" s="27" t="s">
        <v>6</v>
      </c>
      <c r="E108" s="27">
        <v>2</v>
      </c>
      <c r="F108" s="128">
        <f>'2022.'!Q108</f>
        <v>0</v>
      </c>
      <c r="G108" s="128">
        <f>'2022.'!R108</f>
        <v>0</v>
      </c>
      <c r="H108" s="128">
        <f t="shared" si="18"/>
        <v>0.5</v>
      </c>
      <c r="I108" s="112">
        <f t="shared" si="19"/>
        <v>0.5</v>
      </c>
      <c r="J108" s="112">
        <f>ROUND('2022.'!K108*1.025,0)</f>
        <v>6</v>
      </c>
      <c r="K108" s="112">
        <f t="shared" si="22"/>
        <v>6</v>
      </c>
      <c r="L108" s="110">
        <v>6</v>
      </c>
      <c r="M108" s="112">
        <f t="shared" si="23"/>
        <v>6</v>
      </c>
      <c r="N108" s="37">
        <f>'2022.'!O108*1.025</f>
        <v>466.37499999999994</v>
      </c>
      <c r="O108" s="21">
        <f t="shared" si="20"/>
        <v>2798.2499999999995</v>
      </c>
      <c r="P108" s="128">
        <f t="shared" si="21"/>
        <v>0</v>
      </c>
      <c r="Q108" s="128">
        <f t="shared" si="21"/>
        <v>0</v>
      </c>
    </row>
    <row r="109" spans="1:17" ht="15" customHeight="1" x14ac:dyDescent="0.3">
      <c r="A109" s="16">
        <v>98</v>
      </c>
      <c r="B109" s="16" t="s">
        <v>409</v>
      </c>
      <c r="C109" s="26" t="s">
        <v>173</v>
      </c>
      <c r="D109" s="27" t="s">
        <v>6</v>
      </c>
      <c r="E109" s="27">
        <v>2</v>
      </c>
      <c r="F109" s="128">
        <f>'2022.'!Q109</f>
        <v>0</v>
      </c>
      <c r="G109" s="128">
        <f>'2022.'!R109</f>
        <v>0</v>
      </c>
      <c r="H109" s="128">
        <f t="shared" si="18"/>
        <v>0.5</v>
      </c>
      <c r="I109" s="112">
        <f t="shared" si="19"/>
        <v>0.5</v>
      </c>
      <c r="J109" s="112">
        <f>ROUND('2022.'!K109*1.025,0)</f>
        <v>6</v>
      </c>
      <c r="K109" s="112">
        <f t="shared" si="22"/>
        <v>6</v>
      </c>
      <c r="L109" s="110">
        <v>6</v>
      </c>
      <c r="M109" s="112">
        <f t="shared" si="23"/>
        <v>6</v>
      </c>
      <c r="N109" s="37">
        <f>'2022.'!O109*1.025</f>
        <v>830.24999999999989</v>
      </c>
      <c r="O109" s="21">
        <f t="shared" si="20"/>
        <v>4981.4999999999991</v>
      </c>
      <c r="P109" s="128">
        <f t="shared" si="21"/>
        <v>0</v>
      </c>
      <c r="Q109" s="128">
        <f t="shared" si="21"/>
        <v>0</v>
      </c>
    </row>
    <row r="110" spans="1:17" ht="15" customHeight="1" x14ac:dyDescent="0.3">
      <c r="A110" s="16">
        <v>99</v>
      </c>
      <c r="B110" s="16" t="s">
        <v>409</v>
      </c>
      <c r="C110" s="26" t="s">
        <v>175</v>
      </c>
      <c r="D110" s="27" t="s">
        <v>6</v>
      </c>
      <c r="E110" s="27">
        <v>2</v>
      </c>
      <c r="F110" s="128">
        <f>'2022.'!Q110</f>
        <v>2</v>
      </c>
      <c r="G110" s="128">
        <f>'2022.'!R110</f>
        <v>2</v>
      </c>
      <c r="H110" s="127">
        <f t="shared" si="18"/>
        <v>0.33333333333333331</v>
      </c>
      <c r="I110" s="109">
        <f t="shared" si="19"/>
        <v>0.33333333333333331</v>
      </c>
      <c r="J110" s="112">
        <f>ROUND('2022.'!K110*1.025,0)</f>
        <v>4</v>
      </c>
      <c r="K110" s="112">
        <f t="shared" si="22"/>
        <v>4</v>
      </c>
      <c r="L110" s="110">
        <v>3</v>
      </c>
      <c r="M110" s="112">
        <f t="shared" si="23"/>
        <v>3</v>
      </c>
      <c r="N110" s="37">
        <f>'2022.'!O110*1.025</f>
        <v>258.54599999999999</v>
      </c>
      <c r="O110" s="21">
        <f t="shared" si="20"/>
        <v>775.63799999999992</v>
      </c>
      <c r="P110" s="128">
        <f t="shared" si="21"/>
        <v>1</v>
      </c>
      <c r="Q110" s="128">
        <f t="shared" si="21"/>
        <v>1</v>
      </c>
    </row>
    <row r="111" spans="1:17" ht="15" customHeight="1" x14ac:dyDescent="0.3">
      <c r="A111" s="16">
        <v>100</v>
      </c>
      <c r="B111" s="16" t="s">
        <v>409</v>
      </c>
      <c r="C111" s="26" t="s">
        <v>177</v>
      </c>
      <c r="D111" s="27" t="s">
        <v>6</v>
      </c>
      <c r="E111" s="27">
        <v>2</v>
      </c>
      <c r="F111" s="128">
        <f>'2022.'!Q111</f>
        <v>3</v>
      </c>
      <c r="G111" s="128">
        <f>'2022.'!R111</f>
        <v>3</v>
      </c>
      <c r="H111" s="127">
        <f t="shared" si="18"/>
        <v>0.33333333333333331</v>
      </c>
      <c r="I111" s="109">
        <f t="shared" si="19"/>
        <v>0.33333333333333331</v>
      </c>
      <c r="J111" s="112">
        <f>ROUND('2022.'!K111*1.025,0)</f>
        <v>4</v>
      </c>
      <c r="K111" s="112">
        <f t="shared" si="22"/>
        <v>4</v>
      </c>
      <c r="L111" s="110">
        <v>3</v>
      </c>
      <c r="M111" s="112">
        <f t="shared" si="23"/>
        <v>3</v>
      </c>
      <c r="N111" s="37">
        <f>'2022.'!O111*1.025</f>
        <v>136.858</v>
      </c>
      <c r="O111" s="21">
        <f t="shared" si="20"/>
        <v>410.57400000000001</v>
      </c>
      <c r="P111" s="128">
        <f t="shared" si="21"/>
        <v>1</v>
      </c>
      <c r="Q111" s="128">
        <f t="shared" si="21"/>
        <v>1</v>
      </c>
    </row>
    <row r="112" spans="1:17" ht="15" customHeight="1" x14ac:dyDescent="0.3">
      <c r="A112" s="16">
        <v>101</v>
      </c>
      <c r="B112" s="16" t="s">
        <v>409</v>
      </c>
      <c r="C112" s="26" t="s">
        <v>179</v>
      </c>
      <c r="D112" s="27" t="s">
        <v>6</v>
      </c>
      <c r="E112" s="27">
        <v>2</v>
      </c>
      <c r="F112" s="128">
        <f>'2022.'!Q112</f>
        <v>1</v>
      </c>
      <c r="G112" s="128">
        <f>'2022.'!R112</f>
        <v>2</v>
      </c>
      <c r="H112" s="128">
        <f t="shared" si="18"/>
        <v>1.0833333333333333</v>
      </c>
      <c r="I112" s="112">
        <f t="shared" si="19"/>
        <v>2.1666666666666665</v>
      </c>
      <c r="J112" s="112">
        <f>ROUND('2022.'!K112*1.025,0)</f>
        <v>13</v>
      </c>
      <c r="K112" s="112">
        <f t="shared" si="22"/>
        <v>26</v>
      </c>
      <c r="L112" s="110">
        <v>12</v>
      </c>
      <c r="M112" s="112">
        <f t="shared" si="23"/>
        <v>24</v>
      </c>
      <c r="N112" s="37">
        <f>'2022.'!O112*1.025</f>
        <v>288.96800000000002</v>
      </c>
      <c r="O112" s="21">
        <f t="shared" si="20"/>
        <v>6935.232</v>
      </c>
      <c r="P112" s="128">
        <f t="shared" si="21"/>
        <v>1</v>
      </c>
      <c r="Q112" s="128">
        <f t="shared" si="21"/>
        <v>2</v>
      </c>
    </row>
    <row r="113" spans="1:17" ht="15" customHeight="1" x14ac:dyDescent="0.3">
      <c r="A113" s="16">
        <v>102</v>
      </c>
      <c r="B113" s="16" t="s">
        <v>409</v>
      </c>
      <c r="C113" s="26" t="s">
        <v>181</v>
      </c>
      <c r="D113" s="27" t="s">
        <v>6</v>
      </c>
      <c r="E113" s="27">
        <v>2</v>
      </c>
      <c r="F113" s="128">
        <f>'2022.'!Q113</f>
        <v>1</v>
      </c>
      <c r="G113" s="128">
        <f>'2022.'!R113</f>
        <v>2</v>
      </c>
      <c r="H113" s="128">
        <f t="shared" si="18"/>
        <v>1.0833333333333333</v>
      </c>
      <c r="I113" s="112">
        <f t="shared" si="19"/>
        <v>2.1666666666666665</v>
      </c>
      <c r="J113" s="112">
        <f>ROUND('2022.'!K113*1.025,0)</f>
        <v>13</v>
      </c>
      <c r="K113" s="112">
        <f t="shared" si="22"/>
        <v>26</v>
      </c>
      <c r="L113" s="110">
        <v>12</v>
      </c>
      <c r="M113" s="112">
        <f t="shared" si="23"/>
        <v>24</v>
      </c>
      <c r="N113" s="37">
        <f>'2022.'!O113*1.025</f>
        <v>160.16649999999998</v>
      </c>
      <c r="O113" s="21">
        <f t="shared" si="20"/>
        <v>3843.9959999999996</v>
      </c>
      <c r="P113" s="128">
        <f t="shared" si="21"/>
        <v>1</v>
      </c>
      <c r="Q113" s="128">
        <f t="shared" si="21"/>
        <v>2</v>
      </c>
    </row>
    <row r="114" spans="1:17" s="15" customFormat="1" ht="15" customHeight="1" x14ac:dyDescent="0.3">
      <c r="A114" s="257" t="s">
        <v>405</v>
      </c>
      <c r="B114" s="257"/>
      <c r="C114" s="257"/>
      <c r="D114" s="257"/>
      <c r="E114" s="257"/>
      <c r="F114" s="126">
        <f t="shared" ref="F114:Q114" si="26">SUM(F115:F131)</f>
        <v>24</v>
      </c>
      <c r="G114" s="126">
        <f t="shared" si="26"/>
        <v>24</v>
      </c>
      <c r="H114" s="126">
        <f t="shared" si="18"/>
        <v>33.083333333333336</v>
      </c>
      <c r="I114" s="126">
        <f t="shared" si="19"/>
        <v>32.833333333333336</v>
      </c>
      <c r="J114" s="126">
        <f>ROUND('2022.'!K114*1.025,0)</f>
        <v>397</v>
      </c>
      <c r="K114" s="126">
        <f t="shared" si="26"/>
        <v>394</v>
      </c>
      <c r="L114" s="126">
        <f t="shared" ref="L114" si="27">SUM(L115:L131)</f>
        <v>387</v>
      </c>
      <c r="M114" s="126">
        <f t="shared" si="26"/>
        <v>387</v>
      </c>
      <c r="N114" s="38" t="s">
        <v>426</v>
      </c>
      <c r="O114" s="25">
        <f t="shared" si="26"/>
        <v>63039.406500000005</v>
      </c>
      <c r="P114" s="126">
        <f t="shared" si="26"/>
        <v>7</v>
      </c>
      <c r="Q114" s="126">
        <f t="shared" si="26"/>
        <v>7</v>
      </c>
    </row>
    <row r="115" spans="1:17" ht="15" customHeight="1" x14ac:dyDescent="0.3">
      <c r="A115" s="28">
        <v>103</v>
      </c>
      <c r="B115" s="28" t="s">
        <v>410</v>
      </c>
      <c r="C115" s="26" t="s">
        <v>182</v>
      </c>
      <c r="D115" s="27" t="s">
        <v>6</v>
      </c>
      <c r="E115" s="27">
        <v>0.5</v>
      </c>
      <c r="F115" s="128">
        <f>'2022.'!Q115</f>
        <v>0</v>
      </c>
      <c r="G115" s="128">
        <f>'2022.'!R115</f>
        <v>0</v>
      </c>
      <c r="H115" s="128">
        <f t="shared" si="18"/>
        <v>0.75</v>
      </c>
      <c r="I115" s="112">
        <f t="shared" si="19"/>
        <v>0.75</v>
      </c>
      <c r="J115" s="112">
        <f>ROUND('2022.'!K115*1.025,0)</f>
        <v>9</v>
      </c>
      <c r="K115" s="112">
        <f t="shared" si="22"/>
        <v>9</v>
      </c>
      <c r="L115" s="110">
        <v>9</v>
      </c>
      <c r="M115" s="112">
        <f t="shared" si="23"/>
        <v>9</v>
      </c>
      <c r="N115" s="37">
        <f>'2022.'!O115*1.025</f>
        <v>135.36149999999998</v>
      </c>
      <c r="O115" s="21">
        <f t="shared" si="20"/>
        <v>1218.2534999999998</v>
      </c>
      <c r="P115" s="128">
        <f t="shared" si="21"/>
        <v>0</v>
      </c>
      <c r="Q115" s="128">
        <f t="shared" si="21"/>
        <v>0</v>
      </c>
    </row>
    <row r="116" spans="1:17" ht="29.4" customHeight="1" x14ac:dyDescent="0.3">
      <c r="A116" s="28">
        <v>104</v>
      </c>
      <c r="B116" s="28" t="s">
        <v>410</v>
      </c>
      <c r="C116" s="26" t="s">
        <v>183</v>
      </c>
      <c r="D116" s="27" t="s">
        <v>6</v>
      </c>
      <c r="E116" s="27">
        <v>0.5</v>
      </c>
      <c r="F116" s="128">
        <f>'2022.'!Q116</f>
        <v>0</v>
      </c>
      <c r="G116" s="128">
        <f>'2022.'!R116</f>
        <v>0</v>
      </c>
      <c r="H116" s="128">
        <f t="shared" si="18"/>
        <v>0.75</v>
      </c>
      <c r="I116" s="112">
        <f t="shared" si="19"/>
        <v>0.75</v>
      </c>
      <c r="J116" s="112">
        <f>ROUND('2022.'!K116*1.025,0)</f>
        <v>9</v>
      </c>
      <c r="K116" s="112">
        <f t="shared" si="22"/>
        <v>9</v>
      </c>
      <c r="L116" s="110">
        <v>9</v>
      </c>
      <c r="M116" s="112">
        <f t="shared" si="23"/>
        <v>9</v>
      </c>
      <c r="N116" s="37">
        <f>'2022.'!O116*1.025</f>
        <v>167.76174999999998</v>
      </c>
      <c r="O116" s="21">
        <f t="shared" si="20"/>
        <v>1509.8557499999997</v>
      </c>
      <c r="P116" s="128">
        <f t="shared" si="21"/>
        <v>0</v>
      </c>
      <c r="Q116" s="128">
        <f t="shared" si="21"/>
        <v>0</v>
      </c>
    </row>
    <row r="117" spans="1:17" ht="29.4" customHeight="1" x14ac:dyDescent="0.3">
      <c r="A117" s="28">
        <v>105</v>
      </c>
      <c r="B117" s="28" t="s">
        <v>410</v>
      </c>
      <c r="C117" s="26" t="s">
        <v>184</v>
      </c>
      <c r="D117" s="27" t="s">
        <v>6</v>
      </c>
      <c r="E117" s="27">
        <v>0.5</v>
      </c>
      <c r="F117" s="128">
        <f>'2022.'!Q117</f>
        <v>0</v>
      </c>
      <c r="G117" s="128">
        <f>'2022.'!R117</f>
        <v>0</v>
      </c>
      <c r="H117" s="128">
        <f t="shared" si="18"/>
        <v>0.75</v>
      </c>
      <c r="I117" s="112">
        <f t="shared" si="19"/>
        <v>0.75</v>
      </c>
      <c r="J117" s="112">
        <f>ROUND('2022.'!K117*1.025,0)</f>
        <v>9</v>
      </c>
      <c r="K117" s="112">
        <f t="shared" si="22"/>
        <v>9</v>
      </c>
      <c r="L117" s="110">
        <v>9</v>
      </c>
      <c r="M117" s="112">
        <f t="shared" si="23"/>
        <v>9</v>
      </c>
      <c r="N117" s="37">
        <f>'2022.'!O117*1.025</f>
        <v>201.31</v>
      </c>
      <c r="O117" s="21">
        <f t="shared" si="20"/>
        <v>1811.79</v>
      </c>
      <c r="P117" s="128">
        <f t="shared" si="21"/>
        <v>0</v>
      </c>
      <c r="Q117" s="128">
        <f t="shared" si="21"/>
        <v>0</v>
      </c>
    </row>
    <row r="118" spans="1:17" ht="15" customHeight="1" x14ac:dyDescent="0.3">
      <c r="A118" s="28">
        <v>106</v>
      </c>
      <c r="B118" s="28" t="s">
        <v>410</v>
      </c>
      <c r="C118" s="26" t="s">
        <v>185</v>
      </c>
      <c r="D118" s="27" t="s">
        <v>6</v>
      </c>
      <c r="E118" s="27">
        <v>0.5</v>
      </c>
      <c r="F118" s="128">
        <f>'2022.'!Q118</f>
        <v>3</v>
      </c>
      <c r="G118" s="128">
        <f>'2022.'!R118</f>
        <v>3</v>
      </c>
      <c r="H118" s="128">
        <f t="shared" si="18"/>
        <v>2.5833333333333335</v>
      </c>
      <c r="I118" s="112">
        <f t="shared" si="19"/>
        <v>2.5833333333333335</v>
      </c>
      <c r="J118" s="112">
        <f>ROUND('2022.'!K118*1.025,0)</f>
        <v>31</v>
      </c>
      <c r="K118" s="112">
        <f t="shared" si="22"/>
        <v>31</v>
      </c>
      <c r="L118" s="110">
        <v>30</v>
      </c>
      <c r="M118" s="112">
        <f t="shared" si="23"/>
        <v>30</v>
      </c>
      <c r="N118" s="37">
        <f>'2022.'!O118*1.025</f>
        <v>100.655</v>
      </c>
      <c r="O118" s="21">
        <f t="shared" si="20"/>
        <v>3019.65</v>
      </c>
      <c r="P118" s="128">
        <f t="shared" si="21"/>
        <v>1</v>
      </c>
      <c r="Q118" s="128">
        <f t="shared" si="21"/>
        <v>1</v>
      </c>
    </row>
    <row r="119" spans="1:17" ht="15" customHeight="1" x14ac:dyDescent="0.3">
      <c r="A119" s="28">
        <v>107</v>
      </c>
      <c r="B119" s="28" t="s">
        <v>410</v>
      </c>
      <c r="C119" s="26" t="s">
        <v>186</v>
      </c>
      <c r="D119" s="27" t="s">
        <v>6</v>
      </c>
      <c r="E119" s="27">
        <v>0.5</v>
      </c>
      <c r="F119" s="128">
        <f>'2022.'!Q119</f>
        <v>3</v>
      </c>
      <c r="G119" s="128">
        <f>'2022.'!R119</f>
        <v>3</v>
      </c>
      <c r="H119" s="128">
        <f t="shared" si="18"/>
        <v>2.5833333333333335</v>
      </c>
      <c r="I119" s="112">
        <f t="shared" si="19"/>
        <v>2.5833333333333335</v>
      </c>
      <c r="J119" s="112">
        <f>ROUND('2022.'!K119*1.025,0)</f>
        <v>31</v>
      </c>
      <c r="K119" s="112">
        <f t="shared" si="22"/>
        <v>31</v>
      </c>
      <c r="L119" s="110">
        <v>30</v>
      </c>
      <c r="M119" s="112">
        <f t="shared" si="23"/>
        <v>30</v>
      </c>
      <c r="N119" s="37">
        <f>'2022.'!O119*1.025</f>
        <v>100.655</v>
      </c>
      <c r="O119" s="21">
        <f t="shared" si="20"/>
        <v>3019.65</v>
      </c>
      <c r="P119" s="128">
        <f t="shared" si="21"/>
        <v>1</v>
      </c>
      <c r="Q119" s="128">
        <f t="shared" si="21"/>
        <v>1</v>
      </c>
    </row>
    <row r="120" spans="1:17" ht="15" customHeight="1" x14ac:dyDescent="0.3">
      <c r="A120" s="28">
        <v>108</v>
      </c>
      <c r="B120" s="28" t="s">
        <v>410</v>
      </c>
      <c r="C120" s="26" t="s">
        <v>187</v>
      </c>
      <c r="D120" s="27" t="s">
        <v>6</v>
      </c>
      <c r="E120" s="27">
        <v>0.5</v>
      </c>
      <c r="F120" s="128">
        <f>'2022.'!Q120</f>
        <v>18</v>
      </c>
      <c r="G120" s="128">
        <f>'2022.'!R120</f>
        <v>18</v>
      </c>
      <c r="H120" s="128">
        <f t="shared" si="18"/>
        <v>17.166666666666668</v>
      </c>
      <c r="I120" s="112">
        <f t="shared" si="19"/>
        <v>17.166666666666668</v>
      </c>
      <c r="J120" s="112">
        <f>ROUND('2022.'!K120*1.025,0)</f>
        <v>206</v>
      </c>
      <c r="K120" s="112">
        <f t="shared" si="22"/>
        <v>206</v>
      </c>
      <c r="L120" s="110">
        <v>201</v>
      </c>
      <c r="M120" s="112">
        <f t="shared" si="23"/>
        <v>201</v>
      </c>
      <c r="N120" s="37">
        <f>'2022.'!O120*1.025</f>
        <v>184.54099999999997</v>
      </c>
      <c r="O120" s="21">
        <f t="shared" si="20"/>
        <v>37092.740999999995</v>
      </c>
      <c r="P120" s="128">
        <f t="shared" si="21"/>
        <v>5</v>
      </c>
      <c r="Q120" s="128">
        <f t="shared" si="21"/>
        <v>5</v>
      </c>
    </row>
    <row r="121" spans="1:17" ht="15" customHeight="1" x14ac:dyDescent="0.3">
      <c r="A121" s="28">
        <v>109</v>
      </c>
      <c r="B121" s="28" t="s">
        <v>410</v>
      </c>
      <c r="C121" s="26" t="s">
        <v>188</v>
      </c>
      <c r="D121" s="27" t="s">
        <v>6</v>
      </c>
      <c r="E121" s="27">
        <v>0.5</v>
      </c>
      <c r="F121" s="128">
        <f>'2022.'!Q121</f>
        <v>0</v>
      </c>
      <c r="G121" s="128">
        <f>'2022.'!R121</f>
        <v>0</v>
      </c>
      <c r="H121" s="128">
        <f t="shared" si="18"/>
        <v>0.75</v>
      </c>
      <c r="I121" s="112">
        <f t="shared" si="19"/>
        <v>0.75</v>
      </c>
      <c r="J121" s="112">
        <f>ROUND('2022.'!K121*1.025,0)</f>
        <v>9</v>
      </c>
      <c r="K121" s="112">
        <f t="shared" si="22"/>
        <v>9</v>
      </c>
      <c r="L121" s="110">
        <v>9</v>
      </c>
      <c r="M121" s="112">
        <f t="shared" si="23"/>
        <v>9</v>
      </c>
      <c r="N121" s="37">
        <f>'2022.'!O121*1.025</f>
        <v>134.21349999999998</v>
      </c>
      <c r="O121" s="21">
        <f t="shared" si="20"/>
        <v>1207.9214999999999</v>
      </c>
      <c r="P121" s="128">
        <f t="shared" si="21"/>
        <v>0</v>
      </c>
      <c r="Q121" s="128">
        <f t="shared" si="21"/>
        <v>0</v>
      </c>
    </row>
    <row r="122" spans="1:17" ht="23.4" customHeight="1" x14ac:dyDescent="0.3">
      <c r="A122" s="28">
        <v>110</v>
      </c>
      <c r="B122" s="28" t="s">
        <v>410</v>
      </c>
      <c r="C122" s="26" t="s">
        <v>189</v>
      </c>
      <c r="D122" s="27" t="s">
        <v>6</v>
      </c>
      <c r="E122" s="27">
        <v>0.5</v>
      </c>
      <c r="F122" s="128">
        <f>'2022.'!Q122</f>
        <v>0</v>
      </c>
      <c r="G122" s="128">
        <f>'2022.'!R122</f>
        <v>0</v>
      </c>
      <c r="H122" s="128">
        <f t="shared" si="18"/>
        <v>0.75</v>
      </c>
      <c r="I122" s="112">
        <f t="shared" si="19"/>
        <v>0.75</v>
      </c>
      <c r="J122" s="112">
        <f>ROUND('2022.'!K122*1.025,0)</f>
        <v>9</v>
      </c>
      <c r="K122" s="112">
        <f t="shared" si="22"/>
        <v>9</v>
      </c>
      <c r="L122" s="110">
        <v>9</v>
      </c>
      <c r="M122" s="112">
        <f t="shared" si="23"/>
        <v>9</v>
      </c>
      <c r="N122" s="37">
        <f>'2022.'!O122*1.025</f>
        <v>167.76174999999998</v>
      </c>
      <c r="O122" s="21">
        <f t="shared" si="20"/>
        <v>1509.8557499999997</v>
      </c>
      <c r="P122" s="128">
        <f t="shared" si="21"/>
        <v>0</v>
      </c>
      <c r="Q122" s="128">
        <f t="shared" si="21"/>
        <v>0</v>
      </c>
    </row>
    <row r="123" spans="1:17" ht="15" customHeight="1" x14ac:dyDescent="0.3">
      <c r="A123" s="28">
        <v>111</v>
      </c>
      <c r="B123" s="28" t="s">
        <v>410</v>
      </c>
      <c r="C123" s="26" t="s">
        <v>190</v>
      </c>
      <c r="D123" s="27" t="s">
        <v>6</v>
      </c>
      <c r="E123" s="27">
        <v>0.5</v>
      </c>
      <c r="F123" s="128">
        <f>'2022.'!Q123</f>
        <v>0</v>
      </c>
      <c r="G123" s="128">
        <f>'2022.'!R123</f>
        <v>0</v>
      </c>
      <c r="H123" s="128">
        <f t="shared" si="18"/>
        <v>0.75</v>
      </c>
      <c r="I123" s="112">
        <f t="shared" si="19"/>
        <v>0.75</v>
      </c>
      <c r="J123" s="112">
        <f>ROUND('2022.'!K123*1.025,0)</f>
        <v>9</v>
      </c>
      <c r="K123" s="112">
        <f t="shared" si="22"/>
        <v>9</v>
      </c>
      <c r="L123" s="110">
        <v>9</v>
      </c>
      <c r="M123" s="112">
        <f t="shared" si="23"/>
        <v>9</v>
      </c>
      <c r="N123" s="37">
        <f>'2022.'!O123*1.025</f>
        <v>167.76174999999998</v>
      </c>
      <c r="O123" s="21">
        <f t="shared" si="20"/>
        <v>1509.8557499999997</v>
      </c>
      <c r="P123" s="128">
        <f t="shared" si="21"/>
        <v>0</v>
      </c>
      <c r="Q123" s="128">
        <f t="shared" si="21"/>
        <v>0</v>
      </c>
    </row>
    <row r="124" spans="1:17" ht="15" customHeight="1" x14ac:dyDescent="0.3">
      <c r="A124" s="28">
        <v>112</v>
      </c>
      <c r="B124" s="28" t="s">
        <v>410</v>
      </c>
      <c r="C124" s="26" t="s">
        <v>191</v>
      </c>
      <c r="D124" s="27" t="s">
        <v>6</v>
      </c>
      <c r="E124" s="27">
        <v>0.5</v>
      </c>
      <c r="F124" s="128">
        <f>'2022.'!Q124</f>
        <v>0</v>
      </c>
      <c r="G124" s="128">
        <f>'2022.'!R124</f>
        <v>0</v>
      </c>
      <c r="H124" s="128">
        <f t="shared" si="18"/>
        <v>0.75</v>
      </c>
      <c r="I124" s="112">
        <f t="shared" si="19"/>
        <v>0.75</v>
      </c>
      <c r="J124" s="112">
        <f>ROUND('2022.'!K124*1.025,0)</f>
        <v>9</v>
      </c>
      <c r="K124" s="112">
        <f t="shared" si="22"/>
        <v>9</v>
      </c>
      <c r="L124" s="110">
        <v>9</v>
      </c>
      <c r="M124" s="112">
        <f t="shared" si="23"/>
        <v>9</v>
      </c>
      <c r="N124" s="37">
        <f>'2022.'!O124*1.025</f>
        <v>201.31</v>
      </c>
      <c r="O124" s="21">
        <f t="shared" si="20"/>
        <v>1811.79</v>
      </c>
      <c r="P124" s="128">
        <f t="shared" si="21"/>
        <v>0</v>
      </c>
      <c r="Q124" s="128">
        <f t="shared" si="21"/>
        <v>0</v>
      </c>
    </row>
    <row r="125" spans="1:17" ht="28.25" customHeight="1" x14ac:dyDescent="0.3">
      <c r="A125" s="28">
        <v>113</v>
      </c>
      <c r="B125" s="28" t="s">
        <v>410</v>
      </c>
      <c r="C125" s="26" t="s">
        <v>192</v>
      </c>
      <c r="D125" s="27" t="s">
        <v>6</v>
      </c>
      <c r="E125" s="27">
        <v>0.5</v>
      </c>
      <c r="F125" s="128">
        <f>'2022.'!Q125</f>
        <v>0</v>
      </c>
      <c r="G125" s="128">
        <f>'2022.'!R125</f>
        <v>0</v>
      </c>
      <c r="H125" s="128">
        <f t="shared" si="18"/>
        <v>0.75</v>
      </c>
      <c r="I125" s="112">
        <f t="shared" si="19"/>
        <v>0.75</v>
      </c>
      <c r="J125" s="112">
        <f>ROUND('2022.'!K125*1.025,0)</f>
        <v>9</v>
      </c>
      <c r="K125" s="112">
        <f t="shared" si="22"/>
        <v>9</v>
      </c>
      <c r="L125" s="110">
        <v>9</v>
      </c>
      <c r="M125" s="112">
        <f t="shared" si="23"/>
        <v>9</v>
      </c>
      <c r="N125" s="37">
        <f>'2022.'!O125*1.025</f>
        <v>209.1</v>
      </c>
      <c r="O125" s="21">
        <f t="shared" si="20"/>
        <v>1881.8999999999999</v>
      </c>
      <c r="P125" s="128">
        <f t="shared" si="21"/>
        <v>0</v>
      </c>
      <c r="Q125" s="128">
        <f t="shared" si="21"/>
        <v>0</v>
      </c>
    </row>
    <row r="126" spans="1:17" ht="15" customHeight="1" x14ac:dyDescent="0.3">
      <c r="A126" s="28">
        <v>114</v>
      </c>
      <c r="B126" s="28" t="s">
        <v>410</v>
      </c>
      <c r="C126" s="26" t="s">
        <v>193</v>
      </c>
      <c r="D126" s="27" t="s">
        <v>6</v>
      </c>
      <c r="E126" s="27">
        <v>0.5</v>
      </c>
      <c r="F126" s="128">
        <f>'2022.'!Q126</f>
        <v>0</v>
      </c>
      <c r="G126" s="128">
        <f>'2022.'!R126</f>
        <v>0</v>
      </c>
      <c r="H126" s="128">
        <f t="shared" si="18"/>
        <v>0.75</v>
      </c>
      <c r="I126" s="112">
        <f t="shared" si="19"/>
        <v>0.75</v>
      </c>
      <c r="J126" s="112">
        <f>ROUND('2022.'!K126*1.025,0)</f>
        <v>9</v>
      </c>
      <c r="K126" s="112">
        <f t="shared" si="22"/>
        <v>9</v>
      </c>
      <c r="L126" s="110">
        <v>9</v>
      </c>
      <c r="M126" s="112">
        <f t="shared" si="23"/>
        <v>9</v>
      </c>
      <c r="N126" s="37">
        <f>'2022.'!O126*1.025</f>
        <v>167.76174999999998</v>
      </c>
      <c r="O126" s="21">
        <f t="shared" si="20"/>
        <v>1509.8557499999997</v>
      </c>
      <c r="P126" s="128">
        <f t="shared" si="21"/>
        <v>0</v>
      </c>
      <c r="Q126" s="128">
        <f t="shared" si="21"/>
        <v>0</v>
      </c>
    </row>
    <row r="127" spans="1:17" ht="15" customHeight="1" x14ac:dyDescent="0.3">
      <c r="A127" s="28">
        <v>115</v>
      </c>
      <c r="B127" s="28" t="s">
        <v>410</v>
      </c>
      <c r="C127" s="26" t="s">
        <v>194</v>
      </c>
      <c r="D127" s="27" t="s">
        <v>6</v>
      </c>
      <c r="E127" s="27">
        <v>0.5</v>
      </c>
      <c r="F127" s="128">
        <f>'2022.'!Q127</f>
        <v>0</v>
      </c>
      <c r="G127" s="128">
        <f>'2022.'!R127</f>
        <v>0</v>
      </c>
      <c r="H127" s="128">
        <f t="shared" si="18"/>
        <v>0.75</v>
      </c>
      <c r="I127" s="112">
        <f t="shared" si="19"/>
        <v>0.75</v>
      </c>
      <c r="J127" s="112">
        <f>ROUND('2022.'!K127*1.025,0)</f>
        <v>9</v>
      </c>
      <c r="K127" s="112">
        <f t="shared" si="22"/>
        <v>9</v>
      </c>
      <c r="L127" s="110">
        <v>9</v>
      </c>
      <c r="M127" s="112">
        <f t="shared" si="23"/>
        <v>9</v>
      </c>
      <c r="N127" s="37">
        <f>'2022.'!O127*1.025</f>
        <v>129.273</v>
      </c>
      <c r="O127" s="21">
        <f t="shared" si="20"/>
        <v>1163.4569999999999</v>
      </c>
      <c r="P127" s="128">
        <f t="shared" si="21"/>
        <v>0</v>
      </c>
      <c r="Q127" s="128">
        <f t="shared" si="21"/>
        <v>0</v>
      </c>
    </row>
    <row r="128" spans="1:17" ht="15" customHeight="1" x14ac:dyDescent="0.3">
      <c r="A128" s="28">
        <v>116</v>
      </c>
      <c r="B128" s="28" t="s">
        <v>410</v>
      </c>
      <c r="C128" s="26" t="s">
        <v>195</v>
      </c>
      <c r="D128" s="27" t="s">
        <v>6</v>
      </c>
      <c r="E128" s="27">
        <v>0.5</v>
      </c>
      <c r="F128" s="128">
        <f>'2022.'!Q128</f>
        <v>0</v>
      </c>
      <c r="G128" s="128">
        <f>'2022.'!R128</f>
        <v>0</v>
      </c>
      <c r="H128" s="128">
        <f t="shared" si="18"/>
        <v>0.75</v>
      </c>
      <c r="I128" s="112">
        <f t="shared" si="19"/>
        <v>0.75</v>
      </c>
      <c r="J128" s="112">
        <f>ROUND('2022.'!K128*1.025,0)</f>
        <v>9</v>
      </c>
      <c r="K128" s="112">
        <f t="shared" si="22"/>
        <v>9</v>
      </c>
      <c r="L128" s="110">
        <v>9</v>
      </c>
      <c r="M128" s="112">
        <f t="shared" si="23"/>
        <v>9</v>
      </c>
      <c r="N128" s="37">
        <f>'2022.'!O128*1.025</f>
        <v>75.491249999999994</v>
      </c>
      <c r="O128" s="21">
        <f t="shared" si="20"/>
        <v>679.42124999999999</v>
      </c>
      <c r="P128" s="128">
        <f t="shared" si="21"/>
        <v>0</v>
      </c>
      <c r="Q128" s="128">
        <f t="shared" si="21"/>
        <v>0</v>
      </c>
    </row>
    <row r="129" spans="1:17" ht="25.75" customHeight="1" x14ac:dyDescent="0.3">
      <c r="A129" s="28">
        <v>117</v>
      </c>
      <c r="B129" s="28" t="s">
        <v>410</v>
      </c>
      <c r="C129" s="26" t="s">
        <v>196</v>
      </c>
      <c r="D129" s="27" t="s">
        <v>6</v>
      </c>
      <c r="E129" s="27">
        <v>0.5</v>
      </c>
      <c r="F129" s="128">
        <f>'2022.'!Q129</f>
        <v>0</v>
      </c>
      <c r="G129" s="128">
        <f>'2022.'!R129</f>
        <v>0</v>
      </c>
      <c r="H129" s="128">
        <f t="shared" si="18"/>
        <v>0.75</v>
      </c>
      <c r="I129" s="112">
        <f t="shared" si="19"/>
        <v>0.75</v>
      </c>
      <c r="J129" s="112">
        <f>ROUND('2022.'!K129*1.025,0)</f>
        <v>9</v>
      </c>
      <c r="K129" s="112">
        <f t="shared" si="22"/>
        <v>9</v>
      </c>
      <c r="L129" s="110">
        <v>9</v>
      </c>
      <c r="M129" s="112">
        <f t="shared" si="23"/>
        <v>9</v>
      </c>
      <c r="N129" s="37">
        <f>'2022.'!O129*1.025</f>
        <v>178.01174999999998</v>
      </c>
      <c r="O129" s="21">
        <f t="shared" si="20"/>
        <v>1602.1057499999997</v>
      </c>
      <c r="P129" s="128">
        <f t="shared" si="21"/>
        <v>0</v>
      </c>
      <c r="Q129" s="128">
        <f t="shared" si="21"/>
        <v>0</v>
      </c>
    </row>
    <row r="130" spans="1:17" ht="15" customHeight="1" x14ac:dyDescent="0.3">
      <c r="A130" s="28">
        <v>118</v>
      </c>
      <c r="B130" s="28" t="s">
        <v>410</v>
      </c>
      <c r="C130" s="26" t="s">
        <v>197</v>
      </c>
      <c r="D130" s="27" t="s">
        <v>6</v>
      </c>
      <c r="E130" s="27">
        <v>0.5</v>
      </c>
      <c r="F130" s="128">
        <f>'2022.'!Q130</f>
        <v>0</v>
      </c>
      <c r="G130" s="128">
        <f>'2022.'!R130</f>
        <v>0</v>
      </c>
      <c r="H130" s="128">
        <f t="shared" si="18"/>
        <v>0.75</v>
      </c>
      <c r="I130" s="112">
        <f t="shared" si="19"/>
        <v>0.75</v>
      </c>
      <c r="J130" s="112">
        <f>ROUND('2022.'!K130*1.025,0)</f>
        <v>9</v>
      </c>
      <c r="K130" s="112">
        <f t="shared" si="22"/>
        <v>9</v>
      </c>
      <c r="L130" s="110">
        <v>9</v>
      </c>
      <c r="M130" s="112">
        <f t="shared" si="23"/>
        <v>9</v>
      </c>
      <c r="N130" s="37">
        <f>'2022.'!O130*1.025</f>
        <v>83.885999999999996</v>
      </c>
      <c r="O130" s="21">
        <f t="shared" si="20"/>
        <v>754.97399999999993</v>
      </c>
      <c r="P130" s="128">
        <f t="shared" si="21"/>
        <v>0</v>
      </c>
      <c r="Q130" s="128">
        <f t="shared" si="21"/>
        <v>0</v>
      </c>
    </row>
    <row r="131" spans="1:17" ht="27.65" customHeight="1" x14ac:dyDescent="0.3">
      <c r="A131" s="28">
        <v>119</v>
      </c>
      <c r="B131" s="28" t="s">
        <v>410</v>
      </c>
      <c r="C131" s="26" t="s">
        <v>198</v>
      </c>
      <c r="D131" s="27" t="s">
        <v>6</v>
      </c>
      <c r="E131" s="27">
        <v>0.5</v>
      </c>
      <c r="F131" s="128">
        <f>'2022.'!Q131</f>
        <v>0</v>
      </c>
      <c r="G131" s="128">
        <f>'2022.'!R131</f>
        <v>0</v>
      </c>
      <c r="H131" s="128">
        <f t="shared" si="18"/>
        <v>0.75</v>
      </c>
      <c r="I131" s="112">
        <f t="shared" si="19"/>
        <v>0.75</v>
      </c>
      <c r="J131" s="112">
        <f>ROUND('2022.'!K131*1.025,0)</f>
        <v>9</v>
      </c>
      <c r="K131" s="112">
        <f t="shared" si="22"/>
        <v>9</v>
      </c>
      <c r="L131" s="110">
        <v>9</v>
      </c>
      <c r="M131" s="112">
        <f t="shared" si="23"/>
        <v>9</v>
      </c>
      <c r="N131" s="37">
        <f>'2022.'!O131*1.025</f>
        <v>192.92549999999997</v>
      </c>
      <c r="O131" s="21">
        <f t="shared" si="20"/>
        <v>1736.3294999999998</v>
      </c>
      <c r="P131" s="128">
        <f t="shared" si="21"/>
        <v>0</v>
      </c>
      <c r="Q131" s="128">
        <f t="shared" si="21"/>
        <v>0</v>
      </c>
    </row>
    <row r="132" spans="1:17" s="15" customFormat="1" ht="15" customHeight="1" x14ac:dyDescent="0.3">
      <c r="A132" s="254" t="s">
        <v>199</v>
      </c>
      <c r="B132" s="254"/>
      <c r="C132" s="254"/>
      <c r="D132" s="254"/>
      <c r="E132" s="254"/>
      <c r="F132" s="12">
        <f t="shared" ref="F132:Q132" si="28">SUM(F133:F157)</f>
        <v>81</v>
      </c>
      <c r="G132" s="12">
        <f t="shared" si="28"/>
        <v>83.999999999999943</v>
      </c>
      <c r="H132" s="12">
        <f t="shared" si="18"/>
        <v>76.666666666666671</v>
      </c>
      <c r="I132" s="12">
        <f t="shared" si="19"/>
        <v>79.833333333333329</v>
      </c>
      <c r="J132" s="12">
        <f>ROUND('2022.'!K132*1.025,0)</f>
        <v>920</v>
      </c>
      <c r="K132" s="12">
        <f t="shared" si="28"/>
        <v>958</v>
      </c>
      <c r="L132" s="12">
        <f t="shared" ref="L132" si="29">SUM(L133:L157)</f>
        <v>828</v>
      </c>
      <c r="M132" s="12">
        <f t="shared" si="28"/>
        <v>864</v>
      </c>
      <c r="N132" s="13" t="s">
        <v>426</v>
      </c>
      <c r="O132" s="14">
        <f t="shared" si="28"/>
        <v>1300545.8197499998</v>
      </c>
      <c r="P132" s="12">
        <f t="shared" si="28"/>
        <v>90</v>
      </c>
      <c r="Q132" s="12">
        <f t="shared" si="28"/>
        <v>94</v>
      </c>
    </row>
    <row r="133" spans="1:17" ht="14.5" x14ac:dyDescent="0.3">
      <c r="A133" s="16">
        <v>120</v>
      </c>
      <c r="B133" s="16">
        <v>4</v>
      </c>
      <c r="C133" s="29" t="s">
        <v>201</v>
      </c>
      <c r="D133" s="24" t="s">
        <v>6</v>
      </c>
      <c r="E133" s="24">
        <v>3</v>
      </c>
      <c r="F133" s="128">
        <f>'2022.'!Q133</f>
        <v>1</v>
      </c>
      <c r="G133" s="128">
        <f>'2022.'!R133</f>
        <v>1</v>
      </c>
      <c r="H133" s="128">
        <f t="shared" si="18"/>
        <v>0.58333333333333337</v>
      </c>
      <c r="I133" s="112">
        <f t="shared" si="19"/>
        <v>0.58333333333333337</v>
      </c>
      <c r="J133" s="112">
        <f>ROUND('2022.'!K133*1.025,0)</f>
        <v>7</v>
      </c>
      <c r="K133" s="112">
        <f t="shared" si="22"/>
        <v>7</v>
      </c>
      <c r="L133" s="110">
        <v>6</v>
      </c>
      <c r="M133" s="112">
        <f t="shared" si="23"/>
        <v>6</v>
      </c>
      <c r="N133" s="37">
        <f>'2022.'!O133*1.025</f>
        <v>1419.6249999999998</v>
      </c>
      <c r="O133" s="21">
        <f t="shared" si="20"/>
        <v>8517.7499999999982</v>
      </c>
      <c r="P133" s="128">
        <f t="shared" si="21"/>
        <v>1</v>
      </c>
      <c r="Q133" s="128">
        <f t="shared" si="21"/>
        <v>1</v>
      </c>
    </row>
    <row r="134" spans="1:17" ht="14.5" x14ac:dyDescent="0.3">
      <c r="A134" s="16">
        <v>121</v>
      </c>
      <c r="B134" s="16">
        <v>4</v>
      </c>
      <c r="C134" s="29" t="s">
        <v>203</v>
      </c>
      <c r="D134" s="24" t="s">
        <v>6</v>
      </c>
      <c r="E134" s="24">
        <v>3</v>
      </c>
      <c r="F134" s="128">
        <f>'2022.'!Q134</f>
        <v>1</v>
      </c>
      <c r="G134" s="128">
        <f>'2022.'!R134</f>
        <v>1</v>
      </c>
      <c r="H134" s="127">
        <f t="shared" si="18"/>
        <v>0.25</v>
      </c>
      <c r="I134" s="109">
        <f t="shared" si="19"/>
        <v>0.25</v>
      </c>
      <c r="J134" s="112">
        <f>ROUND('2022.'!K134*1.025,0)</f>
        <v>3</v>
      </c>
      <c r="K134" s="112">
        <f t="shared" si="22"/>
        <v>3</v>
      </c>
      <c r="L134" s="110">
        <v>3</v>
      </c>
      <c r="M134" s="112">
        <f t="shared" si="23"/>
        <v>3</v>
      </c>
      <c r="N134" s="37">
        <f>'2022.'!O134*1.025</f>
        <v>1356.0442499999999</v>
      </c>
      <c r="O134" s="21">
        <f t="shared" si="20"/>
        <v>4068.1327499999998</v>
      </c>
      <c r="P134" s="128">
        <f t="shared" si="21"/>
        <v>0</v>
      </c>
      <c r="Q134" s="128">
        <f t="shared" si="21"/>
        <v>0</v>
      </c>
    </row>
    <row r="135" spans="1:17" ht="14.5" x14ac:dyDescent="0.3">
      <c r="A135" s="16">
        <v>122</v>
      </c>
      <c r="B135" s="16">
        <v>4</v>
      </c>
      <c r="C135" s="29" t="s">
        <v>205</v>
      </c>
      <c r="D135" s="24" t="s">
        <v>6</v>
      </c>
      <c r="E135" s="24">
        <v>3</v>
      </c>
      <c r="F135" s="128">
        <f>'2022.'!Q135</f>
        <v>3</v>
      </c>
      <c r="G135" s="128">
        <f>'2022.'!R135</f>
        <v>3</v>
      </c>
      <c r="H135" s="128">
        <f t="shared" si="18"/>
        <v>2</v>
      </c>
      <c r="I135" s="112">
        <f t="shared" si="19"/>
        <v>2</v>
      </c>
      <c r="J135" s="112">
        <f>ROUND('2022.'!K135*1.025,0)</f>
        <v>24</v>
      </c>
      <c r="K135" s="112">
        <f t="shared" si="22"/>
        <v>24</v>
      </c>
      <c r="L135" s="110">
        <v>21</v>
      </c>
      <c r="M135" s="112">
        <f t="shared" si="23"/>
        <v>21</v>
      </c>
      <c r="N135" s="37">
        <f>'2022.'!O135*1.025</f>
        <v>2453.85</v>
      </c>
      <c r="O135" s="21">
        <f t="shared" si="20"/>
        <v>51530.85</v>
      </c>
      <c r="P135" s="128">
        <f t="shared" si="21"/>
        <v>3</v>
      </c>
      <c r="Q135" s="128">
        <f t="shared" si="21"/>
        <v>3</v>
      </c>
    </row>
    <row r="136" spans="1:17" ht="14.5" x14ac:dyDescent="0.3">
      <c r="A136" s="16">
        <v>123</v>
      </c>
      <c r="B136" s="16">
        <v>4</v>
      </c>
      <c r="C136" s="29" t="s">
        <v>207</v>
      </c>
      <c r="D136" s="24" t="s">
        <v>6</v>
      </c>
      <c r="E136" s="24">
        <v>3</v>
      </c>
      <c r="F136" s="128">
        <f>'2022.'!Q136</f>
        <v>2</v>
      </c>
      <c r="G136" s="128">
        <f>'2022.'!R136</f>
        <v>2</v>
      </c>
      <c r="H136" s="127">
        <f t="shared" ref="H136:H200" si="30">J136/12</f>
        <v>0.25</v>
      </c>
      <c r="I136" s="109">
        <f t="shared" ref="I136:I200" si="31">K136/12</f>
        <v>0.25</v>
      </c>
      <c r="J136" s="112">
        <f>ROUND('2022.'!K136*1.025,0)</f>
        <v>3</v>
      </c>
      <c r="K136" s="112">
        <f t="shared" si="22"/>
        <v>3</v>
      </c>
      <c r="L136" s="110">
        <v>3</v>
      </c>
      <c r="M136" s="112">
        <f t="shared" si="23"/>
        <v>3</v>
      </c>
      <c r="N136" s="37">
        <f>'2022.'!O136*1.025</f>
        <v>1356.0442499999999</v>
      </c>
      <c r="O136" s="21">
        <f t="shared" ref="O136:O200" si="32">N136*M136</f>
        <v>4068.1327499999998</v>
      </c>
      <c r="P136" s="128">
        <f t="shared" ref="P136:Q200" si="33">J136-L136</f>
        <v>0</v>
      </c>
      <c r="Q136" s="128">
        <f t="shared" si="33"/>
        <v>0</v>
      </c>
    </row>
    <row r="137" spans="1:17" ht="14.5" x14ac:dyDescent="0.3">
      <c r="A137" s="16">
        <v>124</v>
      </c>
      <c r="B137" s="16">
        <v>4</v>
      </c>
      <c r="C137" s="29" t="s">
        <v>209</v>
      </c>
      <c r="D137" s="24" t="s">
        <v>6</v>
      </c>
      <c r="E137" s="24">
        <v>3</v>
      </c>
      <c r="F137" s="128">
        <f>'2022.'!Q137</f>
        <v>1</v>
      </c>
      <c r="G137" s="128">
        <f>'2022.'!R137</f>
        <v>1</v>
      </c>
      <c r="H137" s="127">
        <f t="shared" si="30"/>
        <v>0.33333333333333331</v>
      </c>
      <c r="I137" s="109">
        <f t="shared" si="31"/>
        <v>0.33333333333333331</v>
      </c>
      <c r="J137" s="112">
        <f>ROUND('2022.'!K137*1.025,0)</f>
        <v>4</v>
      </c>
      <c r="K137" s="112">
        <f t="shared" si="22"/>
        <v>4</v>
      </c>
      <c r="L137" s="110">
        <v>3</v>
      </c>
      <c r="M137" s="112">
        <f t="shared" si="23"/>
        <v>3</v>
      </c>
      <c r="N137" s="37">
        <f>'2022.'!O137*1.025</f>
        <v>2921.2499999999995</v>
      </c>
      <c r="O137" s="21">
        <f t="shared" si="32"/>
        <v>8763.7499999999982</v>
      </c>
      <c r="P137" s="128">
        <f t="shared" si="33"/>
        <v>1</v>
      </c>
      <c r="Q137" s="128">
        <f t="shared" si="33"/>
        <v>1</v>
      </c>
    </row>
    <row r="138" spans="1:17" ht="14.5" x14ac:dyDescent="0.3">
      <c r="A138" s="16">
        <v>125</v>
      </c>
      <c r="B138" s="16">
        <v>4</v>
      </c>
      <c r="C138" s="29" t="s">
        <v>211</v>
      </c>
      <c r="D138" s="24" t="s">
        <v>6</v>
      </c>
      <c r="E138" s="24">
        <v>3</v>
      </c>
      <c r="F138" s="128">
        <f>'2022.'!Q138</f>
        <v>2</v>
      </c>
      <c r="G138" s="128">
        <f>'2022.'!R138</f>
        <v>2</v>
      </c>
      <c r="H138" s="127">
        <f t="shared" si="30"/>
        <v>0.25</v>
      </c>
      <c r="I138" s="109">
        <f t="shared" si="31"/>
        <v>0.25</v>
      </c>
      <c r="J138" s="112">
        <f>ROUND('2022.'!K138*1.025,0)</f>
        <v>3</v>
      </c>
      <c r="K138" s="112">
        <f t="shared" si="22"/>
        <v>3</v>
      </c>
      <c r="L138" s="110">
        <v>3</v>
      </c>
      <c r="M138" s="112">
        <f t="shared" si="23"/>
        <v>3</v>
      </c>
      <c r="N138" s="37">
        <f>'2022.'!O138*1.025</f>
        <v>2392.7394999999997</v>
      </c>
      <c r="O138" s="21">
        <f t="shared" si="32"/>
        <v>7178.218499999999</v>
      </c>
      <c r="P138" s="128">
        <f t="shared" si="33"/>
        <v>0</v>
      </c>
      <c r="Q138" s="128">
        <f t="shared" si="33"/>
        <v>0</v>
      </c>
    </row>
    <row r="139" spans="1:17" ht="27" customHeight="1" x14ac:dyDescent="0.3">
      <c r="A139" s="16">
        <v>126</v>
      </c>
      <c r="B139" s="16">
        <v>4</v>
      </c>
      <c r="C139" s="29" t="s">
        <v>213</v>
      </c>
      <c r="D139" s="24" t="s">
        <v>6</v>
      </c>
      <c r="E139" s="24">
        <v>3</v>
      </c>
      <c r="F139" s="128">
        <f>'2022.'!Q139</f>
        <v>2</v>
      </c>
      <c r="G139" s="128">
        <f>'2022.'!R139</f>
        <v>2</v>
      </c>
      <c r="H139" s="127">
        <f t="shared" si="30"/>
        <v>0.25</v>
      </c>
      <c r="I139" s="109">
        <f t="shared" si="31"/>
        <v>0.25</v>
      </c>
      <c r="J139" s="112">
        <f>ROUND('2022.'!K139*1.025,0)</f>
        <v>3</v>
      </c>
      <c r="K139" s="112">
        <f t="shared" si="22"/>
        <v>3</v>
      </c>
      <c r="L139" s="110">
        <v>3</v>
      </c>
      <c r="M139" s="112">
        <f t="shared" si="23"/>
        <v>3</v>
      </c>
      <c r="N139" s="37">
        <f>'2022.'!O139*1.025</f>
        <v>2818.5552499999999</v>
      </c>
      <c r="O139" s="21">
        <f t="shared" si="32"/>
        <v>8455.6657500000001</v>
      </c>
      <c r="P139" s="128">
        <f t="shared" si="33"/>
        <v>0</v>
      </c>
      <c r="Q139" s="128">
        <f t="shared" si="33"/>
        <v>0</v>
      </c>
    </row>
    <row r="140" spans="1:17" ht="14.5" x14ac:dyDescent="0.3">
      <c r="A140" s="16">
        <v>127</v>
      </c>
      <c r="B140" s="16">
        <v>4</v>
      </c>
      <c r="C140" s="29" t="s">
        <v>215</v>
      </c>
      <c r="D140" s="24" t="s">
        <v>6</v>
      </c>
      <c r="E140" s="24">
        <v>3</v>
      </c>
      <c r="F140" s="128">
        <f>'2022.'!Q140</f>
        <v>2</v>
      </c>
      <c r="G140" s="128">
        <f>'2022.'!R140</f>
        <v>2</v>
      </c>
      <c r="H140" s="127">
        <f t="shared" si="30"/>
        <v>0.33333333333333331</v>
      </c>
      <c r="I140" s="109">
        <f t="shared" si="31"/>
        <v>0.33333333333333331</v>
      </c>
      <c r="J140" s="112">
        <f>ROUND('2022.'!K140*1.025,0)</f>
        <v>4</v>
      </c>
      <c r="K140" s="112">
        <f t="shared" si="22"/>
        <v>4</v>
      </c>
      <c r="L140" s="110">
        <v>3</v>
      </c>
      <c r="M140" s="112">
        <f t="shared" si="23"/>
        <v>3</v>
      </c>
      <c r="N140" s="37">
        <f>'2022.'!O140*1.025</f>
        <v>953.24999999999989</v>
      </c>
      <c r="O140" s="21">
        <f t="shared" si="32"/>
        <v>2859.7499999999995</v>
      </c>
      <c r="P140" s="128">
        <f t="shared" si="33"/>
        <v>1</v>
      </c>
      <c r="Q140" s="128">
        <f t="shared" si="33"/>
        <v>1</v>
      </c>
    </row>
    <row r="141" spans="1:17" ht="14.5" x14ac:dyDescent="0.3">
      <c r="A141" s="16">
        <v>128</v>
      </c>
      <c r="B141" s="16">
        <v>4</v>
      </c>
      <c r="C141" s="29" t="s">
        <v>217</v>
      </c>
      <c r="D141" s="24" t="s">
        <v>6</v>
      </c>
      <c r="E141" s="24">
        <v>3</v>
      </c>
      <c r="F141" s="128">
        <f>'2022.'!Q141</f>
        <v>1</v>
      </c>
      <c r="G141" s="128">
        <f>'2022.'!R141</f>
        <v>1</v>
      </c>
      <c r="H141" s="127">
        <f t="shared" si="30"/>
        <v>0.25</v>
      </c>
      <c r="I141" s="109">
        <f t="shared" si="31"/>
        <v>0.25</v>
      </c>
      <c r="J141" s="112">
        <f>ROUND('2022.'!K141*1.025,0)</f>
        <v>3</v>
      </c>
      <c r="K141" s="112">
        <f t="shared" si="22"/>
        <v>3</v>
      </c>
      <c r="L141" s="110">
        <v>3</v>
      </c>
      <c r="M141" s="112">
        <f t="shared" si="23"/>
        <v>3</v>
      </c>
      <c r="N141" s="37">
        <f>'2022.'!O141*1.025</f>
        <v>593.11624999999992</v>
      </c>
      <c r="O141" s="21">
        <f t="shared" si="32"/>
        <v>1779.3487499999997</v>
      </c>
      <c r="P141" s="128">
        <f t="shared" si="33"/>
        <v>0</v>
      </c>
      <c r="Q141" s="128">
        <f t="shared" si="33"/>
        <v>0</v>
      </c>
    </row>
    <row r="142" spans="1:17" ht="14.5" x14ac:dyDescent="0.3">
      <c r="A142" s="16">
        <v>129</v>
      </c>
      <c r="B142" s="16">
        <v>4</v>
      </c>
      <c r="C142" s="29" t="s">
        <v>219</v>
      </c>
      <c r="D142" s="24" t="s">
        <v>6</v>
      </c>
      <c r="E142" s="24">
        <v>3</v>
      </c>
      <c r="F142" s="128">
        <f>'2022.'!Q142</f>
        <v>0</v>
      </c>
      <c r="G142" s="128">
        <f>'2022.'!R142</f>
        <v>0</v>
      </c>
      <c r="H142" s="128">
        <f t="shared" si="30"/>
        <v>0.5</v>
      </c>
      <c r="I142" s="112">
        <f t="shared" si="31"/>
        <v>0.5</v>
      </c>
      <c r="J142" s="112">
        <f>ROUND('2022.'!K142*1.025,0)</f>
        <v>6</v>
      </c>
      <c r="K142" s="112">
        <f t="shared" si="22"/>
        <v>6</v>
      </c>
      <c r="L142" s="110">
        <v>6</v>
      </c>
      <c r="M142" s="112">
        <f t="shared" si="23"/>
        <v>6</v>
      </c>
      <c r="N142" s="37">
        <f>'2022.'!O142*1.025</f>
        <v>593.11624999999992</v>
      </c>
      <c r="O142" s="21">
        <f t="shared" si="32"/>
        <v>3558.6974999999993</v>
      </c>
      <c r="P142" s="128">
        <f t="shared" si="33"/>
        <v>0</v>
      </c>
      <c r="Q142" s="128">
        <f t="shared" si="33"/>
        <v>0</v>
      </c>
    </row>
    <row r="143" spans="1:17" ht="14.5" x14ac:dyDescent="0.3">
      <c r="A143" s="16">
        <v>130</v>
      </c>
      <c r="B143" s="16">
        <v>4</v>
      </c>
      <c r="C143" s="29" t="s">
        <v>221</v>
      </c>
      <c r="D143" s="24" t="s">
        <v>6</v>
      </c>
      <c r="E143" s="24">
        <v>3</v>
      </c>
      <c r="F143" s="128">
        <f>'2022.'!Q143</f>
        <v>1</v>
      </c>
      <c r="G143" s="128">
        <f>'2022.'!R143</f>
        <v>1</v>
      </c>
      <c r="H143" s="128">
        <f t="shared" si="30"/>
        <v>0.5</v>
      </c>
      <c r="I143" s="112">
        <f t="shared" si="31"/>
        <v>0.5</v>
      </c>
      <c r="J143" s="112">
        <f>ROUND('2022.'!K143*1.025,0)</f>
        <v>6</v>
      </c>
      <c r="K143" s="112">
        <f t="shared" si="22"/>
        <v>6</v>
      </c>
      <c r="L143" s="110">
        <v>6</v>
      </c>
      <c r="M143" s="112">
        <f t="shared" si="23"/>
        <v>6</v>
      </c>
      <c r="N143" s="37">
        <f>'2022.'!O143*1.025</f>
        <v>633.67549999999994</v>
      </c>
      <c r="O143" s="21">
        <f t="shared" si="32"/>
        <v>3802.0529999999999</v>
      </c>
      <c r="P143" s="128">
        <f t="shared" si="33"/>
        <v>0</v>
      </c>
      <c r="Q143" s="128">
        <f t="shared" si="33"/>
        <v>0</v>
      </c>
    </row>
    <row r="144" spans="1:17" ht="14.5" x14ac:dyDescent="0.3">
      <c r="A144" s="16">
        <v>131</v>
      </c>
      <c r="B144" s="16">
        <v>4</v>
      </c>
      <c r="C144" s="29" t="s">
        <v>223</v>
      </c>
      <c r="D144" s="24" t="s">
        <v>6</v>
      </c>
      <c r="E144" s="24">
        <v>3</v>
      </c>
      <c r="F144" s="128">
        <f>'2022.'!Q144</f>
        <v>0</v>
      </c>
      <c r="G144" s="128">
        <f>'2022.'!R144</f>
        <v>0</v>
      </c>
      <c r="H144" s="127">
        <f t="shared" si="30"/>
        <v>0.25</v>
      </c>
      <c r="I144" s="109">
        <f t="shared" si="31"/>
        <v>0.25</v>
      </c>
      <c r="J144" s="112">
        <f>ROUND('2022.'!K144*1.025,0)</f>
        <v>3</v>
      </c>
      <c r="K144" s="112">
        <f t="shared" si="22"/>
        <v>3</v>
      </c>
      <c r="L144" s="110">
        <v>3</v>
      </c>
      <c r="M144" s="112">
        <f t="shared" si="23"/>
        <v>3</v>
      </c>
      <c r="N144" s="37">
        <f>'2022.'!O144*1.025</f>
        <v>593.11624999999992</v>
      </c>
      <c r="O144" s="21">
        <f t="shared" si="32"/>
        <v>1779.3487499999997</v>
      </c>
      <c r="P144" s="128">
        <f t="shared" si="33"/>
        <v>0</v>
      </c>
      <c r="Q144" s="128">
        <f t="shared" si="33"/>
        <v>0</v>
      </c>
    </row>
    <row r="145" spans="1:17" ht="14.5" x14ac:dyDescent="0.3">
      <c r="A145" s="16">
        <v>132</v>
      </c>
      <c r="B145" s="16">
        <v>4</v>
      </c>
      <c r="C145" s="29" t="s">
        <v>225</v>
      </c>
      <c r="D145" s="24" t="s">
        <v>6</v>
      </c>
      <c r="E145" s="24">
        <v>3</v>
      </c>
      <c r="F145" s="128">
        <f>'2022.'!Q145</f>
        <v>1</v>
      </c>
      <c r="G145" s="128">
        <f>'2022.'!R145</f>
        <v>1</v>
      </c>
      <c r="H145" s="127">
        <f t="shared" si="30"/>
        <v>0.25</v>
      </c>
      <c r="I145" s="109">
        <f t="shared" si="31"/>
        <v>0.25</v>
      </c>
      <c r="J145" s="112">
        <f>ROUND('2022.'!K145*1.025,0)</f>
        <v>3</v>
      </c>
      <c r="K145" s="112">
        <f t="shared" si="22"/>
        <v>3</v>
      </c>
      <c r="L145" s="110">
        <v>3</v>
      </c>
      <c r="M145" s="112">
        <f t="shared" si="23"/>
        <v>3</v>
      </c>
      <c r="N145" s="37">
        <f>'2022.'!O145*1.025</f>
        <v>963.17199999999991</v>
      </c>
      <c r="O145" s="21">
        <f t="shared" si="32"/>
        <v>2889.5159999999996</v>
      </c>
      <c r="P145" s="128">
        <f t="shared" si="33"/>
        <v>0</v>
      </c>
      <c r="Q145" s="128">
        <f t="shared" si="33"/>
        <v>0</v>
      </c>
    </row>
    <row r="146" spans="1:17" ht="14.5" x14ac:dyDescent="0.3">
      <c r="A146" s="16">
        <v>133</v>
      </c>
      <c r="B146" s="16">
        <v>4</v>
      </c>
      <c r="C146" s="29" t="s">
        <v>226</v>
      </c>
      <c r="D146" s="24" t="s">
        <v>6</v>
      </c>
      <c r="E146" s="24">
        <v>4</v>
      </c>
      <c r="F146" s="128">
        <f>'2022.'!Q146</f>
        <v>1</v>
      </c>
      <c r="G146" s="128">
        <f>'2022.'!R146</f>
        <v>1</v>
      </c>
      <c r="H146" s="127">
        <f t="shared" si="30"/>
        <v>0.25</v>
      </c>
      <c r="I146" s="109">
        <f t="shared" si="31"/>
        <v>0.25</v>
      </c>
      <c r="J146" s="112">
        <f>ROUND('2022.'!K146*1.025,0)</f>
        <v>3</v>
      </c>
      <c r="K146" s="112">
        <f t="shared" ref="K146:K210" si="34">ROUND(IF(F146=0,J146,J146*(G146/F146)),0)</f>
        <v>3</v>
      </c>
      <c r="L146" s="110">
        <v>3</v>
      </c>
      <c r="M146" s="112">
        <f t="shared" ref="M146:M210" si="35">ROUND(IF(F146=0,L146,L146*(G146/F146)),0)</f>
        <v>3</v>
      </c>
      <c r="N146" s="37">
        <f>'2022.'!O146*1.025</f>
        <v>1923.8122499999999</v>
      </c>
      <c r="O146" s="21">
        <f t="shared" si="32"/>
        <v>5771.4367499999998</v>
      </c>
      <c r="P146" s="128">
        <f t="shared" si="33"/>
        <v>0</v>
      </c>
      <c r="Q146" s="128">
        <f t="shared" si="33"/>
        <v>0</v>
      </c>
    </row>
    <row r="147" spans="1:17" ht="14.5" x14ac:dyDescent="0.3">
      <c r="A147" s="16">
        <v>134</v>
      </c>
      <c r="B147" s="16">
        <v>4</v>
      </c>
      <c r="C147" s="29" t="s">
        <v>228</v>
      </c>
      <c r="D147" s="24" t="s">
        <v>6</v>
      </c>
      <c r="E147" s="24">
        <v>3</v>
      </c>
      <c r="F147" s="128">
        <f>'2022.'!Q147</f>
        <v>0</v>
      </c>
      <c r="G147" s="128">
        <f>'2022.'!R147</f>
        <v>0</v>
      </c>
      <c r="H147" s="128">
        <f t="shared" si="30"/>
        <v>0.58333333333333337</v>
      </c>
      <c r="I147" s="112">
        <f t="shared" si="31"/>
        <v>0.58333333333333337</v>
      </c>
      <c r="J147" s="112">
        <f>ROUND('2022.'!K147*1.025,0)</f>
        <v>7</v>
      </c>
      <c r="K147" s="112">
        <f t="shared" si="34"/>
        <v>7</v>
      </c>
      <c r="L147" s="110">
        <v>6</v>
      </c>
      <c r="M147" s="112">
        <f t="shared" si="35"/>
        <v>6</v>
      </c>
      <c r="N147" s="37">
        <f>'2022.'!O147*1.025</f>
        <v>1915.1305</v>
      </c>
      <c r="O147" s="21">
        <f t="shared" si="32"/>
        <v>11490.782999999999</v>
      </c>
      <c r="P147" s="128">
        <f t="shared" si="33"/>
        <v>1</v>
      </c>
      <c r="Q147" s="128">
        <f t="shared" si="33"/>
        <v>1</v>
      </c>
    </row>
    <row r="148" spans="1:17" ht="14.5" x14ac:dyDescent="0.3">
      <c r="A148" s="16">
        <v>135</v>
      </c>
      <c r="B148" s="16">
        <v>4</v>
      </c>
      <c r="C148" s="29" t="s">
        <v>230</v>
      </c>
      <c r="D148" s="24" t="s">
        <v>6</v>
      </c>
      <c r="E148" s="24">
        <v>3</v>
      </c>
      <c r="F148" s="128">
        <f>'2022.'!Q148</f>
        <v>2</v>
      </c>
      <c r="G148" s="128">
        <f>'2022.'!R148</f>
        <v>2</v>
      </c>
      <c r="H148" s="127">
        <f t="shared" si="30"/>
        <v>0.25</v>
      </c>
      <c r="I148" s="109">
        <f t="shared" si="31"/>
        <v>0.25</v>
      </c>
      <c r="J148" s="112">
        <f>ROUND('2022.'!K148*1.025,0)</f>
        <v>3</v>
      </c>
      <c r="K148" s="112">
        <f t="shared" si="34"/>
        <v>3</v>
      </c>
      <c r="L148" s="110">
        <v>3</v>
      </c>
      <c r="M148" s="112">
        <f t="shared" si="35"/>
        <v>3</v>
      </c>
      <c r="N148" s="37">
        <f>'2022.'!O148*1.025</f>
        <v>2609.68075</v>
      </c>
      <c r="O148" s="21">
        <f t="shared" si="32"/>
        <v>7829.0422500000004</v>
      </c>
      <c r="P148" s="128">
        <f t="shared" si="33"/>
        <v>0</v>
      </c>
      <c r="Q148" s="128">
        <f t="shared" si="33"/>
        <v>0</v>
      </c>
    </row>
    <row r="149" spans="1:17" ht="14.5" x14ac:dyDescent="0.3">
      <c r="A149" s="16">
        <v>136</v>
      </c>
      <c r="B149" s="16">
        <v>4</v>
      </c>
      <c r="C149" s="29" t="s">
        <v>232</v>
      </c>
      <c r="D149" s="24" t="s">
        <v>6</v>
      </c>
      <c r="E149" s="24">
        <v>3</v>
      </c>
      <c r="F149" s="128">
        <f>'2022.'!Q149</f>
        <v>10</v>
      </c>
      <c r="G149" s="128">
        <f>'2022.'!R149</f>
        <v>11</v>
      </c>
      <c r="H149" s="128">
        <f t="shared" si="30"/>
        <v>11.083333333333334</v>
      </c>
      <c r="I149" s="112">
        <f t="shared" si="31"/>
        <v>12.166666666666666</v>
      </c>
      <c r="J149" s="112">
        <f>ROUND('2022.'!K149*1.025,0)</f>
        <v>133</v>
      </c>
      <c r="K149" s="112">
        <f t="shared" si="34"/>
        <v>146</v>
      </c>
      <c r="L149" s="110">
        <v>120</v>
      </c>
      <c r="M149" s="112">
        <f t="shared" si="35"/>
        <v>132</v>
      </c>
      <c r="N149" s="37">
        <f>'2022.'!O149*1.025</f>
        <v>2942.6929999999998</v>
      </c>
      <c r="O149" s="21">
        <f t="shared" si="32"/>
        <v>388435.47599999997</v>
      </c>
      <c r="P149" s="128">
        <f t="shared" si="33"/>
        <v>13</v>
      </c>
      <c r="Q149" s="128">
        <f t="shared" si="33"/>
        <v>14</v>
      </c>
    </row>
    <row r="150" spans="1:17" ht="14.5" x14ac:dyDescent="0.3">
      <c r="A150" s="16">
        <v>137</v>
      </c>
      <c r="B150" s="16">
        <v>4</v>
      </c>
      <c r="C150" s="29" t="s">
        <v>234</v>
      </c>
      <c r="D150" s="24" t="s">
        <v>6</v>
      </c>
      <c r="E150" s="24">
        <v>3</v>
      </c>
      <c r="F150" s="128">
        <f>'2022.'!Q150</f>
        <v>3</v>
      </c>
      <c r="G150" s="128">
        <f>'2022.'!R150</f>
        <v>3</v>
      </c>
      <c r="H150" s="127">
        <f t="shared" si="30"/>
        <v>0.33333333333333331</v>
      </c>
      <c r="I150" s="109">
        <f t="shared" si="31"/>
        <v>0.33333333333333331</v>
      </c>
      <c r="J150" s="112">
        <f>ROUND('2022.'!K150*1.025,0)</f>
        <v>4</v>
      </c>
      <c r="K150" s="112">
        <f t="shared" si="34"/>
        <v>4</v>
      </c>
      <c r="L150" s="110">
        <v>3</v>
      </c>
      <c r="M150" s="112">
        <f t="shared" si="35"/>
        <v>3</v>
      </c>
      <c r="N150" s="37">
        <f>'2022.'!O150*1.025</f>
        <v>4104.2844999999998</v>
      </c>
      <c r="O150" s="21">
        <f t="shared" si="32"/>
        <v>12312.853499999999</v>
      </c>
      <c r="P150" s="128">
        <f t="shared" si="33"/>
        <v>1</v>
      </c>
      <c r="Q150" s="128">
        <f t="shared" si="33"/>
        <v>1</v>
      </c>
    </row>
    <row r="151" spans="1:17" ht="14.5" x14ac:dyDescent="0.3">
      <c r="A151" s="16">
        <v>138</v>
      </c>
      <c r="B151" s="16">
        <v>4</v>
      </c>
      <c r="C151" s="29" t="s">
        <v>236</v>
      </c>
      <c r="D151" s="24" t="s">
        <v>6</v>
      </c>
      <c r="E151" s="24">
        <v>3</v>
      </c>
      <c r="F151" s="128">
        <f>'2022.'!Q151</f>
        <v>7</v>
      </c>
      <c r="G151" s="128">
        <f>'2022.'!R151</f>
        <v>7</v>
      </c>
      <c r="H151" s="128">
        <f t="shared" si="30"/>
        <v>8</v>
      </c>
      <c r="I151" s="112">
        <f t="shared" si="31"/>
        <v>8</v>
      </c>
      <c r="J151" s="112">
        <f>ROUND('2022.'!K151*1.025,0)</f>
        <v>96</v>
      </c>
      <c r="K151" s="112">
        <f t="shared" si="34"/>
        <v>96</v>
      </c>
      <c r="L151" s="110">
        <v>87</v>
      </c>
      <c r="M151" s="112">
        <f t="shared" si="35"/>
        <v>87</v>
      </c>
      <c r="N151" s="37">
        <f>'2022.'!O151*1.025</f>
        <v>4356.6907499999998</v>
      </c>
      <c r="O151" s="21">
        <f t="shared" si="32"/>
        <v>379032.09524999995</v>
      </c>
      <c r="P151" s="128">
        <f t="shared" si="33"/>
        <v>9</v>
      </c>
      <c r="Q151" s="128">
        <f t="shared" si="33"/>
        <v>9</v>
      </c>
    </row>
    <row r="152" spans="1:17" ht="14.5" x14ac:dyDescent="0.3">
      <c r="A152" s="16">
        <v>139</v>
      </c>
      <c r="B152" s="16">
        <v>4</v>
      </c>
      <c r="C152" s="29" t="s">
        <v>238</v>
      </c>
      <c r="D152" s="24" t="s">
        <v>6</v>
      </c>
      <c r="E152" s="24">
        <v>3</v>
      </c>
      <c r="F152" s="128">
        <f>'2022.'!Q152</f>
        <v>1</v>
      </c>
      <c r="G152" s="128">
        <f>'2022.'!R152</f>
        <v>1</v>
      </c>
      <c r="H152" s="127">
        <f t="shared" si="30"/>
        <v>0.33333333333333331</v>
      </c>
      <c r="I152" s="109">
        <f t="shared" si="31"/>
        <v>0.33333333333333331</v>
      </c>
      <c r="J152" s="112">
        <f>ROUND('2022.'!K152*1.025,0)</f>
        <v>4</v>
      </c>
      <c r="K152" s="112">
        <f t="shared" si="34"/>
        <v>4</v>
      </c>
      <c r="L152" s="110">
        <v>3</v>
      </c>
      <c r="M152" s="112">
        <f t="shared" si="35"/>
        <v>3</v>
      </c>
      <c r="N152" s="37">
        <f>'2022.'!O152*1.025</f>
        <v>6056.5507499999994</v>
      </c>
      <c r="O152" s="21">
        <f t="shared" si="32"/>
        <v>18169.652249999999</v>
      </c>
      <c r="P152" s="128">
        <f t="shared" si="33"/>
        <v>1</v>
      </c>
      <c r="Q152" s="128">
        <f t="shared" si="33"/>
        <v>1</v>
      </c>
    </row>
    <row r="153" spans="1:17" ht="14.5" x14ac:dyDescent="0.3">
      <c r="A153" s="16">
        <v>140</v>
      </c>
      <c r="B153" s="16">
        <v>4</v>
      </c>
      <c r="C153" s="29" t="s">
        <v>240</v>
      </c>
      <c r="D153" s="24" t="s">
        <v>6</v>
      </c>
      <c r="E153" s="24">
        <v>3</v>
      </c>
      <c r="F153" s="128">
        <f>'2022.'!Q153</f>
        <v>2</v>
      </c>
      <c r="G153" s="128">
        <f>'2022.'!R153</f>
        <v>2</v>
      </c>
      <c r="H153" s="127">
        <f t="shared" si="30"/>
        <v>0.25</v>
      </c>
      <c r="I153" s="109">
        <f t="shared" si="31"/>
        <v>0.25</v>
      </c>
      <c r="J153" s="112">
        <f>ROUND('2022.'!K153*1.025,0)</f>
        <v>3</v>
      </c>
      <c r="K153" s="112">
        <f t="shared" si="34"/>
        <v>3</v>
      </c>
      <c r="L153" s="110">
        <v>3</v>
      </c>
      <c r="M153" s="112">
        <f t="shared" si="35"/>
        <v>3</v>
      </c>
      <c r="N153" s="37">
        <f>'2022.'!O153*1.025</f>
        <v>6056.5507499999994</v>
      </c>
      <c r="O153" s="21">
        <f t="shared" si="32"/>
        <v>18169.652249999999</v>
      </c>
      <c r="P153" s="128">
        <f t="shared" si="33"/>
        <v>0</v>
      </c>
      <c r="Q153" s="128">
        <f t="shared" si="33"/>
        <v>0</v>
      </c>
    </row>
    <row r="154" spans="1:17" ht="14.5" x14ac:dyDescent="0.3">
      <c r="A154" s="16">
        <v>141</v>
      </c>
      <c r="B154" s="16">
        <v>4</v>
      </c>
      <c r="C154" s="29" t="s">
        <v>242</v>
      </c>
      <c r="D154" s="24" t="s">
        <v>6</v>
      </c>
      <c r="E154" s="24">
        <v>3</v>
      </c>
      <c r="F154" s="128">
        <f>'2022.'!Q154</f>
        <v>0</v>
      </c>
      <c r="G154" s="128">
        <f>'2022.'!R154</f>
        <v>0</v>
      </c>
      <c r="H154" s="127">
        <f t="shared" si="30"/>
        <v>0.33333333333333331</v>
      </c>
      <c r="I154" s="109">
        <f t="shared" si="31"/>
        <v>0.33333333333333331</v>
      </c>
      <c r="J154" s="112">
        <f>ROUND('2022.'!K154*1.025,0)</f>
        <v>4</v>
      </c>
      <c r="K154" s="112">
        <f t="shared" si="34"/>
        <v>4</v>
      </c>
      <c r="L154" s="110">
        <v>3</v>
      </c>
      <c r="M154" s="112">
        <f t="shared" si="35"/>
        <v>3</v>
      </c>
      <c r="N154" s="37">
        <f>'2022.'!O154*1.025</f>
        <v>444.78849999999994</v>
      </c>
      <c r="O154" s="21">
        <f t="shared" si="32"/>
        <v>1334.3654999999999</v>
      </c>
      <c r="P154" s="128">
        <f t="shared" si="33"/>
        <v>1</v>
      </c>
      <c r="Q154" s="128">
        <f t="shared" si="33"/>
        <v>1</v>
      </c>
    </row>
    <row r="155" spans="1:17" ht="22.25" customHeight="1" x14ac:dyDescent="0.3">
      <c r="A155" s="16">
        <v>142</v>
      </c>
      <c r="B155" s="16">
        <v>4</v>
      </c>
      <c r="C155" s="29" t="s">
        <v>244</v>
      </c>
      <c r="D155" s="24" t="s">
        <v>6</v>
      </c>
      <c r="E155" s="24">
        <v>1</v>
      </c>
      <c r="F155" s="128">
        <f>'2022.'!Q155</f>
        <v>0</v>
      </c>
      <c r="G155" s="128">
        <f>'2022.'!R155</f>
        <v>0</v>
      </c>
      <c r="H155" s="128">
        <f t="shared" si="30"/>
        <v>7.75</v>
      </c>
      <c r="I155" s="112">
        <f t="shared" si="31"/>
        <v>7.75</v>
      </c>
      <c r="J155" s="112">
        <f>ROUND('2022.'!K155*1.025,0)</f>
        <v>93</v>
      </c>
      <c r="K155" s="112">
        <f t="shared" si="34"/>
        <v>93</v>
      </c>
      <c r="L155" s="110">
        <v>84</v>
      </c>
      <c r="M155" s="112">
        <f t="shared" si="35"/>
        <v>84</v>
      </c>
      <c r="N155" s="37">
        <f>'2022.'!O155*1.025</f>
        <v>3649.6969999999997</v>
      </c>
      <c r="O155" s="21">
        <f t="shared" si="32"/>
        <v>306574.54799999995</v>
      </c>
      <c r="P155" s="128">
        <f t="shared" si="33"/>
        <v>9</v>
      </c>
      <c r="Q155" s="128">
        <f t="shared" si="33"/>
        <v>9</v>
      </c>
    </row>
    <row r="156" spans="1:17" ht="14.5" x14ac:dyDescent="0.3">
      <c r="A156" s="16">
        <v>143</v>
      </c>
      <c r="B156" s="16">
        <v>4</v>
      </c>
      <c r="C156" s="29" t="s">
        <v>245</v>
      </c>
      <c r="D156" s="24" t="s">
        <v>6</v>
      </c>
      <c r="E156" s="24">
        <v>4</v>
      </c>
      <c r="F156" s="128">
        <f>'2022.'!Q156</f>
        <v>1</v>
      </c>
      <c r="G156" s="128">
        <f>'2022.'!R156</f>
        <v>1</v>
      </c>
      <c r="H156" s="127">
        <f t="shared" si="30"/>
        <v>0.25</v>
      </c>
      <c r="I156" s="109">
        <f t="shared" si="31"/>
        <v>0.25</v>
      </c>
      <c r="J156" s="112">
        <f>ROUND('2022.'!K156*1.025,0)</f>
        <v>3</v>
      </c>
      <c r="K156" s="112">
        <f t="shared" si="34"/>
        <v>3</v>
      </c>
      <c r="L156" s="110">
        <v>3</v>
      </c>
      <c r="M156" s="112">
        <f t="shared" si="35"/>
        <v>3</v>
      </c>
      <c r="N156" s="37">
        <f>'2022.'!O156*1.025</f>
        <v>3044.3217500000001</v>
      </c>
      <c r="O156" s="21">
        <f t="shared" si="32"/>
        <v>9132.9652500000011</v>
      </c>
      <c r="P156" s="128">
        <f t="shared" si="33"/>
        <v>0</v>
      </c>
      <c r="Q156" s="128">
        <f t="shared" si="33"/>
        <v>0</v>
      </c>
    </row>
    <row r="157" spans="1:17" ht="14.5" x14ac:dyDescent="0.3">
      <c r="A157" s="16">
        <v>144</v>
      </c>
      <c r="B157" s="16">
        <v>4</v>
      </c>
      <c r="C157" s="29" t="s">
        <v>247</v>
      </c>
      <c r="D157" s="24" t="s">
        <v>6</v>
      </c>
      <c r="E157" s="24">
        <v>2</v>
      </c>
      <c r="F157" s="128">
        <f>'2022.'!Q157</f>
        <v>37</v>
      </c>
      <c r="G157" s="128">
        <f>'2022.'!R157</f>
        <v>38.999999999999943</v>
      </c>
      <c r="H157" s="128">
        <f t="shared" si="30"/>
        <v>41.083333333333336</v>
      </c>
      <c r="I157" s="112">
        <f t="shared" si="31"/>
        <v>43.333333333333336</v>
      </c>
      <c r="J157" s="112">
        <f>ROUND('2022.'!K157*1.025,0)</f>
        <v>493</v>
      </c>
      <c r="K157" s="112">
        <f t="shared" si="34"/>
        <v>520</v>
      </c>
      <c r="L157" s="110">
        <v>444</v>
      </c>
      <c r="M157" s="112">
        <f t="shared" si="35"/>
        <v>468</v>
      </c>
      <c r="N157" s="37">
        <f>'2022.'!O157*1.025</f>
        <v>70.60199999999999</v>
      </c>
      <c r="O157" s="21">
        <f t="shared" si="32"/>
        <v>33041.735999999997</v>
      </c>
      <c r="P157" s="128">
        <f t="shared" si="33"/>
        <v>49</v>
      </c>
      <c r="Q157" s="128">
        <f t="shared" si="33"/>
        <v>52</v>
      </c>
    </row>
    <row r="158" spans="1:17" s="15" customFormat="1" ht="15" customHeight="1" x14ac:dyDescent="0.3">
      <c r="A158" s="254" t="s">
        <v>248</v>
      </c>
      <c r="B158" s="254"/>
      <c r="C158" s="254"/>
      <c r="D158" s="254"/>
      <c r="E158" s="254"/>
      <c r="F158" s="12">
        <f>SUM(F159:F165)</f>
        <v>210</v>
      </c>
      <c r="G158" s="12">
        <f t="shared" ref="G158:M158" si="36">SUM(G159:G165)</f>
        <v>420</v>
      </c>
      <c r="H158" s="12">
        <f t="shared" si="30"/>
        <v>233.16666666666666</v>
      </c>
      <c r="I158" s="12">
        <f t="shared" si="31"/>
        <v>466.5</v>
      </c>
      <c r="J158" s="12">
        <f>ROUND('2022.'!K158*1.025,0)</f>
        <v>2798</v>
      </c>
      <c r="K158" s="12">
        <f t="shared" si="36"/>
        <v>5598</v>
      </c>
      <c r="L158" s="12">
        <f t="shared" ref="L158" si="37">SUM(L159:L165)</f>
        <v>2577</v>
      </c>
      <c r="M158" s="12">
        <f t="shared" si="36"/>
        <v>5154</v>
      </c>
      <c r="N158" s="13" t="s">
        <v>426</v>
      </c>
      <c r="O158" s="14">
        <f>SUM(O159:O165)</f>
        <v>1065156.1994999999</v>
      </c>
      <c r="P158" s="12">
        <f t="shared" ref="P158:Q158" si="38">SUM(P159:P165)</f>
        <v>222</v>
      </c>
      <c r="Q158" s="12">
        <f t="shared" si="38"/>
        <v>444</v>
      </c>
    </row>
    <row r="159" spans="1:17" ht="14.5" x14ac:dyDescent="0.3">
      <c r="A159" s="16">
        <v>145</v>
      </c>
      <c r="B159" s="16">
        <v>5</v>
      </c>
      <c r="C159" s="19" t="s">
        <v>250</v>
      </c>
      <c r="D159" s="20" t="s">
        <v>6</v>
      </c>
      <c r="E159" s="20">
        <v>0.5</v>
      </c>
      <c r="F159" s="128">
        <f>'2022.'!Q159</f>
        <v>10</v>
      </c>
      <c r="G159" s="128">
        <f>'2022.'!R159</f>
        <v>20</v>
      </c>
      <c r="H159" s="128">
        <f t="shared" si="30"/>
        <v>91.583333333333329</v>
      </c>
      <c r="I159" s="112">
        <f t="shared" si="31"/>
        <v>183.16666666666666</v>
      </c>
      <c r="J159" s="112">
        <f>ROUND('2022.'!K159*1.025,0)</f>
        <v>1099</v>
      </c>
      <c r="K159" s="112">
        <f t="shared" si="34"/>
        <v>2198</v>
      </c>
      <c r="L159" s="110">
        <v>1069</v>
      </c>
      <c r="M159" s="112">
        <f t="shared" si="35"/>
        <v>2138</v>
      </c>
      <c r="N159" s="37">
        <f>'2022.'!O159*1.025</f>
        <v>110.97674999999998</v>
      </c>
      <c r="O159" s="21">
        <f t="shared" si="32"/>
        <v>237268.29149999996</v>
      </c>
      <c r="P159" s="128">
        <f t="shared" si="33"/>
        <v>30</v>
      </c>
      <c r="Q159" s="128">
        <f t="shared" si="33"/>
        <v>60</v>
      </c>
    </row>
    <row r="160" spans="1:17" ht="14.5" x14ac:dyDescent="0.3">
      <c r="A160" s="16">
        <v>146</v>
      </c>
      <c r="B160" s="16">
        <v>5</v>
      </c>
      <c r="C160" s="19" t="s">
        <v>252</v>
      </c>
      <c r="D160" s="20" t="s">
        <v>6</v>
      </c>
      <c r="E160" s="20">
        <v>0.5</v>
      </c>
      <c r="F160" s="128">
        <f>'2022.'!Q160</f>
        <v>52</v>
      </c>
      <c r="G160" s="128">
        <f>'2022.'!R160</f>
        <v>104</v>
      </c>
      <c r="H160" s="128">
        <f t="shared" si="30"/>
        <v>57.75</v>
      </c>
      <c r="I160" s="112">
        <f t="shared" si="31"/>
        <v>115.5</v>
      </c>
      <c r="J160" s="112">
        <f>ROUND('2022.'!K160*1.025,0)</f>
        <v>693</v>
      </c>
      <c r="K160" s="112">
        <f t="shared" si="34"/>
        <v>1386</v>
      </c>
      <c r="L160" s="110">
        <v>624</v>
      </c>
      <c r="M160" s="112">
        <f t="shared" si="35"/>
        <v>1248</v>
      </c>
      <c r="N160" s="37">
        <f>'2022.'!O160*1.025</f>
        <v>104.86774999999999</v>
      </c>
      <c r="O160" s="21">
        <f t="shared" si="32"/>
        <v>130874.95199999999</v>
      </c>
      <c r="P160" s="128">
        <f t="shared" si="33"/>
        <v>69</v>
      </c>
      <c r="Q160" s="128">
        <f t="shared" si="33"/>
        <v>138</v>
      </c>
    </row>
    <row r="161" spans="1:17" s="66" customFormat="1" ht="26" x14ac:dyDescent="0.3">
      <c r="A161" s="62">
        <v>147</v>
      </c>
      <c r="B161" s="62">
        <v>5</v>
      </c>
      <c r="C161" s="172" t="s">
        <v>519</v>
      </c>
      <c r="D161" s="173" t="s">
        <v>6</v>
      </c>
      <c r="E161" s="173">
        <v>0.5</v>
      </c>
      <c r="F161" s="128">
        <f>'2022.'!Q161</f>
        <v>91</v>
      </c>
      <c r="G161" s="128">
        <f>'2022.'!R161</f>
        <v>182</v>
      </c>
      <c r="H161" s="128">
        <f t="shared" ref="H161" si="39">J161/12</f>
        <v>20.583333333333332</v>
      </c>
      <c r="I161" s="112">
        <f t="shared" ref="I161" si="40">K161/12</f>
        <v>41.166666666666664</v>
      </c>
      <c r="J161" s="112">
        <f>ROUND('2022.'!K161*1.025,0)</f>
        <v>247</v>
      </c>
      <c r="K161" s="112">
        <f t="shared" ref="K161" si="41">ROUND(IF(F161=0,J161,J161*(G161/F161)),0)</f>
        <v>494</v>
      </c>
      <c r="L161" s="110">
        <v>200</v>
      </c>
      <c r="M161" s="112">
        <f t="shared" ref="M161" si="42">ROUND(IF(F161=0,L161,L161*(G161/F161)),0)</f>
        <v>400</v>
      </c>
      <c r="N161" s="37">
        <f>'2022.'!O161*1.025</f>
        <v>110.97674999999998</v>
      </c>
      <c r="O161" s="21">
        <f t="shared" ref="O161" si="43">N161*M161</f>
        <v>44390.69999999999</v>
      </c>
      <c r="P161" s="128">
        <f t="shared" ref="P161" si="44">J161-L161</f>
        <v>47</v>
      </c>
      <c r="Q161" s="128">
        <f t="shared" ref="Q161" si="45">K161-M161</f>
        <v>94</v>
      </c>
    </row>
    <row r="162" spans="1:17" ht="14.5" x14ac:dyDescent="0.3">
      <c r="A162" s="16">
        <v>148</v>
      </c>
      <c r="B162" s="16">
        <v>5</v>
      </c>
      <c r="C162" s="19" t="s">
        <v>254</v>
      </c>
      <c r="D162" s="20" t="s">
        <v>6</v>
      </c>
      <c r="E162" s="20">
        <v>0.5</v>
      </c>
      <c r="F162" s="128">
        <f>'2022.'!Q162</f>
        <v>22</v>
      </c>
      <c r="G162" s="128">
        <f>'2022.'!R162</f>
        <v>44</v>
      </c>
      <c r="H162" s="128">
        <f t="shared" si="30"/>
        <v>24.416666666666668</v>
      </c>
      <c r="I162" s="112">
        <f t="shared" si="31"/>
        <v>48.833333333333336</v>
      </c>
      <c r="J162" s="112">
        <f>ROUND('2022.'!K162*1.025,0)</f>
        <v>293</v>
      </c>
      <c r="K162" s="112">
        <f t="shared" si="34"/>
        <v>586</v>
      </c>
      <c r="L162" s="110">
        <v>264</v>
      </c>
      <c r="M162" s="112">
        <f t="shared" si="35"/>
        <v>528</v>
      </c>
      <c r="N162" s="37">
        <f>'2022.'!O162*1.025</f>
        <v>495.39274999999998</v>
      </c>
      <c r="O162" s="21">
        <f t="shared" si="32"/>
        <v>261567.37199999997</v>
      </c>
      <c r="P162" s="128">
        <f t="shared" si="33"/>
        <v>29</v>
      </c>
      <c r="Q162" s="128">
        <f t="shared" si="33"/>
        <v>58</v>
      </c>
    </row>
    <row r="163" spans="1:17" ht="26" x14ac:dyDescent="0.3">
      <c r="A163" s="16">
        <v>149</v>
      </c>
      <c r="B163" s="16">
        <v>5</v>
      </c>
      <c r="C163" s="19" t="s">
        <v>256</v>
      </c>
      <c r="D163" s="20" t="s">
        <v>6</v>
      </c>
      <c r="E163" s="20">
        <v>0.5</v>
      </c>
      <c r="F163" s="128">
        <f>'2022.'!Q163</f>
        <v>8</v>
      </c>
      <c r="G163" s="128">
        <f>'2022.'!R163</f>
        <v>16</v>
      </c>
      <c r="H163" s="128">
        <f t="shared" si="30"/>
        <v>8.9166666666666661</v>
      </c>
      <c r="I163" s="112">
        <f t="shared" si="31"/>
        <v>17.833333333333332</v>
      </c>
      <c r="J163" s="112">
        <f>ROUND('2022.'!K163*1.025,0)</f>
        <v>107</v>
      </c>
      <c r="K163" s="112">
        <f t="shared" si="34"/>
        <v>214</v>
      </c>
      <c r="L163" s="110">
        <v>96</v>
      </c>
      <c r="M163" s="112">
        <f t="shared" si="35"/>
        <v>192</v>
      </c>
      <c r="N163" s="37">
        <f>'2022.'!O163*1.025</f>
        <v>321.12225000000001</v>
      </c>
      <c r="O163" s="21">
        <f t="shared" si="32"/>
        <v>61655.472000000002</v>
      </c>
      <c r="P163" s="128">
        <f t="shared" si="33"/>
        <v>11</v>
      </c>
      <c r="Q163" s="128">
        <f t="shared" si="33"/>
        <v>22</v>
      </c>
    </row>
    <row r="164" spans="1:17" ht="26" x14ac:dyDescent="0.3">
      <c r="A164" s="16">
        <v>150</v>
      </c>
      <c r="B164" s="16">
        <v>5</v>
      </c>
      <c r="C164" s="19" t="s">
        <v>258</v>
      </c>
      <c r="D164" s="20" t="s">
        <v>6</v>
      </c>
      <c r="E164" s="20">
        <v>0.5</v>
      </c>
      <c r="F164" s="128">
        <f>'2022.'!Q164</f>
        <v>22</v>
      </c>
      <c r="G164" s="128">
        <f>'2022.'!R164</f>
        <v>44</v>
      </c>
      <c r="H164" s="128">
        <f t="shared" si="30"/>
        <v>24.416666666666668</v>
      </c>
      <c r="I164" s="112">
        <f t="shared" si="31"/>
        <v>48.833333333333336</v>
      </c>
      <c r="J164" s="112">
        <f>ROUND('2022.'!K164*1.025,0)</f>
        <v>293</v>
      </c>
      <c r="K164" s="112">
        <f t="shared" si="34"/>
        <v>586</v>
      </c>
      <c r="L164" s="110">
        <v>264</v>
      </c>
      <c r="M164" s="112">
        <f t="shared" si="35"/>
        <v>528</v>
      </c>
      <c r="N164" s="37">
        <f>'2022.'!O164*1.025</f>
        <v>495.39274999999998</v>
      </c>
      <c r="O164" s="21">
        <f t="shared" si="32"/>
        <v>261567.37199999997</v>
      </c>
      <c r="P164" s="128">
        <f t="shared" si="33"/>
        <v>29</v>
      </c>
      <c r="Q164" s="128">
        <f t="shared" si="33"/>
        <v>58</v>
      </c>
    </row>
    <row r="165" spans="1:17" ht="26" x14ac:dyDescent="0.3">
      <c r="A165" s="16">
        <v>151</v>
      </c>
      <c r="B165" s="16">
        <v>5</v>
      </c>
      <c r="C165" s="19" t="s">
        <v>260</v>
      </c>
      <c r="D165" s="20" t="s">
        <v>6</v>
      </c>
      <c r="E165" s="20">
        <v>0.5</v>
      </c>
      <c r="F165" s="128">
        <f>'2022.'!Q165</f>
        <v>5</v>
      </c>
      <c r="G165" s="128">
        <f>'2022.'!R165</f>
        <v>10</v>
      </c>
      <c r="H165" s="128">
        <f t="shared" si="30"/>
        <v>5.583333333333333</v>
      </c>
      <c r="I165" s="112">
        <f t="shared" si="31"/>
        <v>11.166666666666666</v>
      </c>
      <c r="J165" s="112">
        <f>ROUND('2022.'!K165*1.025,0)</f>
        <v>67</v>
      </c>
      <c r="K165" s="112">
        <f t="shared" si="34"/>
        <v>134</v>
      </c>
      <c r="L165" s="110">
        <v>60</v>
      </c>
      <c r="M165" s="112">
        <f t="shared" si="35"/>
        <v>120</v>
      </c>
      <c r="N165" s="37">
        <f>'2022.'!O165*1.025</f>
        <v>565.26699999999994</v>
      </c>
      <c r="O165" s="21">
        <f t="shared" si="32"/>
        <v>67832.039999999994</v>
      </c>
      <c r="P165" s="128">
        <f t="shared" si="33"/>
        <v>7</v>
      </c>
      <c r="Q165" s="128">
        <f t="shared" si="33"/>
        <v>14</v>
      </c>
    </row>
    <row r="166" spans="1:17" s="15" customFormat="1" ht="15" customHeight="1" x14ac:dyDescent="0.3">
      <c r="A166" s="254" t="s">
        <v>261</v>
      </c>
      <c r="B166" s="254"/>
      <c r="C166" s="254"/>
      <c r="D166" s="254"/>
      <c r="E166" s="254"/>
      <c r="F166" s="12">
        <f t="shared" ref="F166:Q166" si="46">SUM(F167:F180)</f>
        <v>389</v>
      </c>
      <c r="G166" s="12">
        <f t="shared" si="46"/>
        <v>389</v>
      </c>
      <c r="H166" s="12">
        <f t="shared" si="30"/>
        <v>171.75</v>
      </c>
      <c r="I166" s="12">
        <f t="shared" si="31"/>
        <v>171.66666666666666</v>
      </c>
      <c r="J166" s="12">
        <f>ROUND('2022.'!K166*1.025,0)</f>
        <v>2061</v>
      </c>
      <c r="K166" s="12">
        <f t="shared" si="46"/>
        <v>2060</v>
      </c>
      <c r="L166" s="12">
        <f t="shared" ref="L166" si="47">SUM(L167:L180)</f>
        <v>1674</v>
      </c>
      <c r="M166" s="12">
        <f t="shared" si="46"/>
        <v>1674</v>
      </c>
      <c r="N166" s="13" t="s">
        <v>426</v>
      </c>
      <c r="O166" s="14">
        <f t="shared" si="46"/>
        <v>258284.66599999997</v>
      </c>
      <c r="P166" s="12">
        <f t="shared" si="46"/>
        <v>386</v>
      </c>
      <c r="Q166" s="12">
        <f t="shared" si="46"/>
        <v>386</v>
      </c>
    </row>
    <row r="167" spans="1:17" ht="14.5" x14ac:dyDescent="0.3">
      <c r="A167" s="16">
        <v>152</v>
      </c>
      <c r="B167" s="17">
        <v>6</v>
      </c>
      <c r="C167" s="29" t="s">
        <v>263</v>
      </c>
      <c r="D167" s="24" t="s">
        <v>6</v>
      </c>
      <c r="E167" s="24">
        <v>2</v>
      </c>
      <c r="F167" s="128">
        <f>'2022.'!Q167</f>
        <v>18</v>
      </c>
      <c r="G167" s="128">
        <f>'2022.'!R167</f>
        <v>18</v>
      </c>
      <c r="H167" s="128">
        <f t="shared" si="30"/>
        <v>7.666666666666667</v>
      </c>
      <c r="I167" s="112">
        <f t="shared" si="31"/>
        <v>7.666666666666667</v>
      </c>
      <c r="J167" s="112">
        <f>ROUND('2022.'!K167*1.025,0)</f>
        <v>92</v>
      </c>
      <c r="K167" s="112">
        <f t="shared" si="34"/>
        <v>92</v>
      </c>
      <c r="L167" s="110">
        <v>72</v>
      </c>
      <c r="M167" s="112">
        <f t="shared" si="35"/>
        <v>72</v>
      </c>
      <c r="N167" s="37">
        <f>'2022.'!O167*1.025</f>
        <v>44.310749999999992</v>
      </c>
      <c r="O167" s="21">
        <f t="shared" si="32"/>
        <v>3190.3739999999993</v>
      </c>
      <c r="P167" s="128">
        <f t="shared" si="33"/>
        <v>20</v>
      </c>
      <c r="Q167" s="128">
        <f t="shared" si="33"/>
        <v>20</v>
      </c>
    </row>
    <row r="168" spans="1:17" ht="14.5" x14ac:dyDescent="0.3">
      <c r="A168" s="16">
        <v>153</v>
      </c>
      <c r="B168" s="17">
        <v>6</v>
      </c>
      <c r="C168" s="29" t="s">
        <v>265</v>
      </c>
      <c r="D168" s="24" t="s">
        <v>6</v>
      </c>
      <c r="E168" s="24">
        <v>4</v>
      </c>
      <c r="F168" s="128">
        <f>'2022.'!Q168</f>
        <v>78</v>
      </c>
      <c r="G168" s="128">
        <f>'2022.'!R168</f>
        <v>78</v>
      </c>
      <c r="H168" s="128">
        <f t="shared" si="30"/>
        <v>37.416666666666664</v>
      </c>
      <c r="I168" s="112">
        <f t="shared" si="31"/>
        <v>37.416666666666664</v>
      </c>
      <c r="J168" s="112">
        <f>ROUND('2022.'!K168*1.025,0)</f>
        <v>449</v>
      </c>
      <c r="K168" s="112">
        <f t="shared" si="34"/>
        <v>449</v>
      </c>
      <c r="L168" s="110">
        <v>360</v>
      </c>
      <c r="M168" s="112">
        <f t="shared" si="35"/>
        <v>360</v>
      </c>
      <c r="N168" s="37">
        <f>'2022.'!O168*1.025</f>
        <v>125.13199999999999</v>
      </c>
      <c r="O168" s="21">
        <f t="shared" si="32"/>
        <v>45047.519999999997</v>
      </c>
      <c r="P168" s="128">
        <f t="shared" si="33"/>
        <v>89</v>
      </c>
      <c r="Q168" s="128">
        <f t="shared" si="33"/>
        <v>89</v>
      </c>
    </row>
    <row r="169" spans="1:17" ht="14.5" x14ac:dyDescent="0.3">
      <c r="A169" s="16">
        <v>154</v>
      </c>
      <c r="B169" s="17">
        <v>6</v>
      </c>
      <c r="C169" s="29" t="s">
        <v>267</v>
      </c>
      <c r="D169" s="24" t="s">
        <v>6</v>
      </c>
      <c r="E169" s="24">
        <v>4</v>
      </c>
      <c r="F169" s="128">
        <f>'2022.'!Q169</f>
        <v>18</v>
      </c>
      <c r="G169" s="128">
        <f>'2022.'!R169</f>
        <v>18</v>
      </c>
      <c r="H169" s="128">
        <f t="shared" si="30"/>
        <v>11.75</v>
      </c>
      <c r="I169" s="112">
        <f t="shared" si="31"/>
        <v>11.75</v>
      </c>
      <c r="J169" s="112">
        <f>ROUND('2022.'!K169*1.025,0)</f>
        <v>141</v>
      </c>
      <c r="K169" s="112">
        <f t="shared" si="34"/>
        <v>141</v>
      </c>
      <c r="L169" s="110">
        <v>120</v>
      </c>
      <c r="M169" s="112">
        <f t="shared" si="35"/>
        <v>120</v>
      </c>
      <c r="N169" s="37">
        <f>'2022.'!O169*1.025</f>
        <v>89.543999999999997</v>
      </c>
      <c r="O169" s="21">
        <f t="shared" si="32"/>
        <v>10745.279999999999</v>
      </c>
      <c r="P169" s="128">
        <f t="shared" si="33"/>
        <v>21</v>
      </c>
      <c r="Q169" s="128">
        <f t="shared" si="33"/>
        <v>21</v>
      </c>
    </row>
    <row r="170" spans="1:17" ht="14.5" x14ac:dyDescent="0.3">
      <c r="A170" s="16">
        <v>155</v>
      </c>
      <c r="B170" s="17">
        <v>6</v>
      </c>
      <c r="C170" s="29" t="s">
        <v>269</v>
      </c>
      <c r="D170" s="24" t="s">
        <v>6</v>
      </c>
      <c r="E170" s="24">
        <v>4</v>
      </c>
      <c r="F170" s="128">
        <f>'2022.'!Q170</f>
        <v>14</v>
      </c>
      <c r="G170" s="128">
        <f>'2022.'!R170</f>
        <v>14</v>
      </c>
      <c r="H170" s="128">
        <f t="shared" si="30"/>
        <v>4.25</v>
      </c>
      <c r="I170" s="112">
        <f t="shared" si="31"/>
        <v>4.25</v>
      </c>
      <c r="J170" s="112">
        <f>ROUND('2022.'!K170*1.025,0)</f>
        <v>51</v>
      </c>
      <c r="K170" s="112">
        <f t="shared" si="34"/>
        <v>51</v>
      </c>
      <c r="L170" s="110">
        <v>36</v>
      </c>
      <c r="M170" s="112">
        <f t="shared" si="35"/>
        <v>36</v>
      </c>
      <c r="N170" s="37">
        <f>'2022.'!O170*1.025</f>
        <v>540.64649999999995</v>
      </c>
      <c r="O170" s="21">
        <f t="shared" si="32"/>
        <v>19463.273999999998</v>
      </c>
      <c r="P170" s="128">
        <f t="shared" si="33"/>
        <v>15</v>
      </c>
      <c r="Q170" s="128">
        <f t="shared" si="33"/>
        <v>15</v>
      </c>
    </row>
    <row r="171" spans="1:17" ht="14.5" x14ac:dyDescent="0.3">
      <c r="A171" s="16">
        <v>156</v>
      </c>
      <c r="B171" s="17">
        <v>6</v>
      </c>
      <c r="C171" s="29" t="s">
        <v>271</v>
      </c>
      <c r="D171" s="24" t="s">
        <v>10</v>
      </c>
      <c r="E171" s="24">
        <v>3</v>
      </c>
      <c r="F171" s="128">
        <f>'2022.'!Q171</f>
        <v>3</v>
      </c>
      <c r="G171" s="128">
        <f>'2022.'!R171</f>
        <v>3</v>
      </c>
      <c r="H171" s="128">
        <f t="shared" si="30"/>
        <v>0.66666666666666663</v>
      </c>
      <c r="I171" s="112">
        <f t="shared" si="31"/>
        <v>0.66666666666666663</v>
      </c>
      <c r="J171" s="112">
        <f>ROUND('2022.'!K171*1.025,0)</f>
        <v>8</v>
      </c>
      <c r="K171" s="112">
        <f t="shared" si="34"/>
        <v>8</v>
      </c>
      <c r="L171" s="110">
        <v>6</v>
      </c>
      <c r="M171" s="112">
        <f t="shared" si="35"/>
        <v>6</v>
      </c>
      <c r="N171" s="37">
        <f>'2022.'!O171*1.025</f>
        <v>1059.809</v>
      </c>
      <c r="O171" s="21">
        <f t="shared" si="32"/>
        <v>6358.8539999999994</v>
      </c>
      <c r="P171" s="128">
        <f t="shared" si="33"/>
        <v>2</v>
      </c>
      <c r="Q171" s="128">
        <f t="shared" si="33"/>
        <v>2</v>
      </c>
    </row>
    <row r="172" spans="1:17" ht="26" x14ac:dyDescent="0.3">
      <c r="A172" s="16">
        <v>157</v>
      </c>
      <c r="B172" s="17">
        <v>6</v>
      </c>
      <c r="C172" s="29" t="s">
        <v>273</v>
      </c>
      <c r="D172" s="24" t="s">
        <v>6</v>
      </c>
      <c r="E172" s="24">
        <v>4</v>
      </c>
      <c r="F172" s="128">
        <f>'2022.'!Q172</f>
        <v>55</v>
      </c>
      <c r="G172" s="128">
        <f>'2022.'!R172</f>
        <v>55</v>
      </c>
      <c r="H172" s="128">
        <f t="shared" si="30"/>
        <v>21.083333333333332</v>
      </c>
      <c r="I172" s="112">
        <f t="shared" si="31"/>
        <v>21.083333333333332</v>
      </c>
      <c r="J172" s="112">
        <f>ROUND('2022.'!K172*1.025,0)</f>
        <v>253</v>
      </c>
      <c r="K172" s="112">
        <f t="shared" si="34"/>
        <v>253</v>
      </c>
      <c r="L172" s="110">
        <v>192</v>
      </c>
      <c r="M172" s="112">
        <f t="shared" si="35"/>
        <v>192</v>
      </c>
      <c r="N172" s="37">
        <f>'2022.'!O172*1.025</f>
        <v>18.142499999999998</v>
      </c>
      <c r="O172" s="21">
        <f t="shared" si="32"/>
        <v>3483.3599999999997</v>
      </c>
      <c r="P172" s="128">
        <f t="shared" si="33"/>
        <v>61</v>
      </c>
      <c r="Q172" s="128">
        <f t="shared" si="33"/>
        <v>61</v>
      </c>
    </row>
    <row r="173" spans="1:17" ht="14.5" x14ac:dyDescent="0.3">
      <c r="A173" s="16">
        <v>158</v>
      </c>
      <c r="B173" s="17">
        <v>6</v>
      </c>
      <c r="C173" s="29" t="s">
        <v>275</v>
      </c>
      <c r="D173" s="24" t="s">
        <v>6</v>
      </c>
      <c r="E173" s="24">
        <v>4</v>
      </c>
      <c r="F173" s="128">
        <f>'2022.'!Q173</f>
        <v>77</v>
      </c>
      <c r="G173" s="128">
        <f>'2022.'!R173</f>
        <v>77</v>
      </c>
      <c r="H173" s="128">
        <f t="shared" si="30"/>
        <v>37.333333333333336</v>
      </c>
      <c r="I173" s="112">
        <f t="shared" si="31"/>
        <v>37.333333333333336</v>
      </c>
      <c r="J173" s="112">
        <f>ROUND('2022.'!K173*1.025,0)</f>
        <v>448</v>
      </c>
      <c r="K173" s="112">
        <f t="shared" si="34"/>
        <v>448</v>
      </c>
      <c r="L173" s="110">
        <v>400</v>
      </c>
      <c r="M173" s="112">
        <f t="shared" si="35"/>
        <v>400</v>
      </c>
      <c r="N173" s="37">
        <f>'2022.'!O173*1.025</f>
        <v>17.22</v>
      </c>
      <c r="O173" s="21">
        <f t="shared" si="32"/>
        <v>6888</v>
      </c>
      <c r="P173" s="128">
        <f t="shared" si="33"/>
        <v>48</v>
      </c>
      <c r="Q173" s="128">
        <f t="shared" si="33"/>
        <v>48</v>
      </c>
    </row>
    <row r="174" spans="1:17" ht="14.5" x14ac:dyDescent="0.3">
      <c r="A174" s="16">
        <v>159</v>
      </c>
      <c r="B174" s="17">
        <v>6</v>
      </c>
      <c r="C174" s="29" t="s">
        <v>277</v>
      </c>
      <c r="D174" s="24" t="s">
        <v>10</v>
      </c>
      <c r="E174" s="24">
        <v>3</v>
      </c>
      <c r="F174" s="128">
        <f>'2022.'!Q174</f>
        <v>1</v>
      </c>
      <c r="G174" s="128">
        <f>'2022.'!R174</f>
        <v>1</v>
      </c>
      <c r="H174" s="128">
        <f t="shared" si="30"/>
        <v>2.1666666666666665</v>
      </c>
      <c r="I174" s="112">
        <f t="shared" si="31"/>
        <v>2.1666666666666665</v>
      </c>
      <c r="J174" s="112">
        <f>ROUND('2022.'!K174*1.025,0)</f>
        <v>26</v>
      </c>
      <c r="K174" s="112">
        <f t="shared" si="34"/>
        <v>26</v>
      </c>
      <c r="L174" s="110">
        <v>24</v>
      </c>
      <c r="M174" s="112">
        <f t="shared" si="35"/>
        <v>24</v>
      </c>
      <c r="N174" s="37">
        <f>'2022.'!O174*1.025</f>
        <v>430.49999999999994</v>
      </c>
      <c r="O174" s="21">
        <f t="shared" si="32"/>
        <v>10331.999999999998</v>
      </c>
      <c r="P174" s="128">
        <f t="shared" si="33"/>
        <v>2</v>
      </c>
      <c r="Q174" s="128">
        <f t="shared" si="33"/>
        <v>2</v>
      </c>
    </row>
    <row r="175" spans="1:17" ht="14.5" x14ac:dyDescent="0.3">
      <c r="A175" s="16">
        <v>160</v>
      </c>
      <c r="B175" s="17">
        <v>6</v>
      </c>
      <c r="C175" s="29" t="s">
        <v>279</v>
      </c>
      <c r="D175" s="24" t="s">
        <v>6</v>
      </c>
      <c r="E175" s="24">
        <v>4</v>
      </c>
      <c r="F175" s="128">
        <f>'2022.'!Q175</f>
        <v>18</v>
      </c>
      <c r="G175" s="128">
        <f>'2022.'!R175</f>
        <v>18</v>
      </c>
      <c r="H175" s="128">
        <f t="shared" si="30"/>
        <v>7.666666666666667</v>
      </c>
      <c r="I175" s="112">
        <f t="shared" si="31"/>
        <v>7.666666666666667</v>
      </c>
      <c r="J175" s="112">
        <f>ROUND('2022.'!K175*1.025,0)</f>
        <v>92</v>
      </c>
      <c r="K175" s="112">
        <f t="shared" si="34"/>
        <v>92</v>
      </c>
      <c r="L175" s="110">
        <v>72</v>
      </c>
      <c r="M175" s="112">
        <f t="shared" si="35"/>
        <v>72</v>
      </c>
      <c r="N175" s="37">
        <f>'2022.'!O175*1.025</f>
        <v>59.470500000000001</v>
      </c>
      <c r="O175" s="21">
        <f t="shared" si="32"/>
        <v>4281.8760000000002</v>
      </c>
      <c r="P175" s="128">
        <f t="shared" si="33"/>
        <v>20</v>
      </c>
      <c r="Q175" s="128">
        <f t="shared" si="33"/>
        <v>20</v>
      </c>
    </row>
    <row r="176" spans="1:17" ht="14.5" x14ac:dyDescent="0.3">
      <c r="A176" s="16">
        <v>161</v>
      </c>
      <c r="B176" s="17">
        <v>6</v>
      </c>
      <c r="C176" s="29" t="s">
        <v>281</v>
      </c>
      <c r="D176" s="24" t="s">
        <v>6</v>
      </c>
      <c r="E176" s="24">
        <v>4</v>
      </c>
      <c r="F176" s="128">
        <f>'2022.'!Q176</f>
        <v>29</v>
      </c>
      <c r="G176" s="128">
        <f>'2022.'!R176</f>
        <v>29</v>
      </c>
      <c r="H176" s="128">
        <f t="shared" si="30"/>
        <v>13.75</v>
      </c>
      <c r="I176" s="112">
        <f t="shared" si="31"/>
        <v>13.75</v>
      </c>
      <c r="J176" s="112">
        <f>ROUND('2022.'!K176*1.025,0)</f>
        <v>165</v>
      </c>
      <c r="K176" s="112">
        <f t="shared" si="34"/>
        <v>165</v>
      </c>
      <c r="L176" s="110">
        <v>132</v>
      </c>
      <c r="M176" s="112">
        <f t="shared" si="35"/>
        <v>132</v>
      </c>
      <c r="N176" s="37">
        <f>'2022.'!O176*1.025</f>
        <v>158.99799999999999</v>
      </c>
      <c r="O176" s="21">
        <f t="shared" si="32"/>
        <v>20987.735999999997</v>
      </c>
      <c r="P176" s="128">
        <f t="shared" si="33"/>
        <v>33</v>
      </c>
      <c r="Q176" s="128">
        <f t="shared" si="33"/>
        <v>33</v>
      </c>
    </row>
    <row r="177" spans="1:17" ht="14.5" x14ac:dyDescent="0.3">
      <c r="A177" s="16">
        <v>162</v>
      </c>
      <c r="B177" s="17">
        <v>6</v>
      </c>
      <c r="C177" s="29" t="s">
        <v>283</v>
      </c>
      <c r="D177" s="24" t="s">
        <v>6</v>
      </c>
      <c r="E177" s="24">
        <v>4</v>
      </c>
      <c r="F177" s="128">
        <f>'2022.'!Q177</f>
        <v>2</v>
      </c>
      <c r="G177" s="128">
        <f>'2022.'!R177</f>
        <v>2</v>
      </c>
      <c r="H177" s="128">
        <f t="shared" si="30"/>
        <v>1.1666666666666667</v>
      </c>
      <c r="I177" s="112">
        <f t="shared" si="31"/>
        <v>1.1666666666666667</v>
      </c>
      <c r="J177" s="112">
        <f>ROUND('2022.'!K177*1.025,0)</f>
        <v>14</v>
      </c>
      <c r="K177" s="112">
        <f t="shared" si="34"/>
        <v>14</v>
      </c>
      <c r="L177" s="110">
        <v>12</v>
      </c>
      <c r="M177" s="112">
        <f t="shared" si="35"/>
        <v>12</v>
      </c>
      <c r="N177" s="37">
        <f>'2022.'!O177*1.025</f>
        <v>57.399999999999991</v>
      </c>
      <c r="O177" s="21">
        <f t="shared" si="32"/>
        <v>688.8</v>
      </c>
      <c r="P177" s="128">
        <f t="shared" si="33"/>
        <v>2</v>
      </c>
      <c r="Q177" s="128">
        <f t="shared" si="33"/>
        <v>2</v>
      </c>
    </row>
    <row r="178" spans="1:17" ht="14.5" x14ac:dyDescent="0.3">
      <c r="A178" s="16">
        <v>163</v>
      </c>
      <c r="B178" s="17">
        <v>6</v>
      </c>
      <c r="C178" s="29" t="s">
        <v>285</v>
      </c>
      <c r="D178" s="24" t="s">
        <v>6</v>
      </c>
      <c r="E178" s="24">
        <v>4</v>
      </c>
      <c r="F178" s="128">
        <f>'2022.'!Q178</f>
        <v>57</v>
      </c>
      <c r="G178" s="128">
        <f>'2022.'!R178</f>
        <v>57</v>
      </c>
      <c r="H178" s="128">
        <f t="shared" si="30"/>
        <v>21.25</v>
      </c>
      <c r="I178" s="112">
        <f t="shared" si="31"/>
        <v>21.25</v>
      </c>
      <c r="J178" s="112">
        <f>ROUND('2022.'!K178*1.025,0)</f>
        <v>255</v>
      </c>
      <c r="K178" s="112">
        <f t="shared" si="34"/>
        <v>255</v>
      </c>
      <c r="L178" s="110">
        <v>200</v>
      </c>
      <c r="M178" s="112">
        <f t="shared" si="35"/>
        <v>200</v>
      </c>
      <c r="N178" s="37">
        <f>'2022.'!O178*1.025</f>
        <v>88.395999999999987</v>
      </c>
      <c r="O178" s="21">
        <f t="shared" si="32"/>
        <v>17679.199999999997</v>
      </c>
      <c r="P178" s="128">
        <f t="shared" si="33"/>
        <v>55</v>
      </c>
      <c r="Q178" s="128">
        <f t="shared" si="33"/>
        <v>55</v>
      </c>
    </row>
    <row r="179" spans="1:17" ht="14.5" x14ac:dyDescent="0.3">
      <c r="A179" s="16">
        <v>164</v>
      </c>
      <c r="B179" s="17">
        <v>6</v>
      </c>
      <c r="C179" s="29" t="s">
        <v>287</v>
      </c>
      <c r="D179" s="24" t="s">
        <v>6</v>
      </c>
      <c r="E179" s="24">
        <v>4</v>
      </c>
      <c r="F179" s="128">
        <f>'2022.'!Q179</f>
        <v>16</v>
      </c>
      <c r="G179" s="128">
        <f>'2022.'!R179</f>
        <v>16</v>
      </c>
      <c r="H179" s="128">
        <f t="shared" si="30"/>
        <v>2.4166666666666665</v>
      </c>
      <c r="I179" s="112">
        <f t="shared" si="31"/>
        <v>2.4166666666666665</v>
      </c>
      <c r="J179" s="112">
        <f>ROUND('2022.'!K179*1.025,0)</f>
        <v>29</v>
      </c>
      <c r="K179" s="112">
        <f t="shared" si="34"/>
        <v>29</v>
      </c>
      <c r="L179" s="110">
        <v>12</v>
      </c>
      <c r="M179" s="112">
        <f t="shared" si="35"/>
        <v>12</v>
      </c>
      <c r="N179" s="37">
        <f>'2022.'!O179*1.025</f>
        <v>177.36599999999999</v>
      </c>
      <c r="O179" s="21">
        <f t="shared" si="32"/>
        <v>2128.3919999999998</v>
      </c>
      <c r="P179" s="128">
        <f t="shared" si="33"/>
        <v>17</v>
      </c>
      <c r="Q179" s="128">
        <f t="shared" si="33"/>
        <v>17</v>
      </c>
    </row>
    <row r="180" spans="1:17" ht="14.5" x14ac:dyDescent="0.3">
      <c r="A180" s="16">
        <v>165</v>
      </c>
      <c r="B180" s="17">
        <v>6</v>
      </c>
      <c r="C180" s="29" t="s">
        <v>288</v>
      </c>
      <c r="D180" s="24" t="s">
        <v>6</v>
      </c>
      <c r="E180" s="24">
        <v>4</v>
      </c>
      <c r="F180" s="128">
        <f>'2022.'!Q180</f>
        <v>3</v>
      </c>
      <c r="G180" s="128">
        <f>'2022.'!R180</f>
        <v>3</v>
      </c>
      <c r="H180" s="128">
        <f t="shared" si="30"/>
        <v>3.0833333333333335</v>
      </c>
      <c r="I180" s="112">
        <f t="shared" si="31"/>
        <v>3.0833333333333335</v>
      </c>
      <c r="J180" s="112">
        <f>ROUND('2022.'!K180*1.025,0)</f>
        <v>37</v>
      </c>
      <c r="K180" s="112">
        <f t="shared" si="34"/>
        <v>37</v>
      </c>
      <c r="L180" s="110">
        <v>36</v>
      </c>
      <c r="M180" s="112">
        <f t="shared" si="35"/>
        <v>36</v>
      </c>
      <c r="N180" s="37">
        <f>'2022.'!O180*1.025</f>
        <v>2972.4999999999995</v>
      </c>
      <c r="O180" s="21">
        <f>N180*M180</f>
        <v>107009.99999999999</v>
      </c>
      <c r="P180" s="128">
        <f t="shared" si="33"/>
        <v>1</v>
      </c>
      <c r="Q180" s="128">
        <f t="shared" si="33"/>
        <v>1</v>
      </c>
    </row>
    <row r="181" spans="1:17" s="15" customFormat="1" ht="15" customHeight="1" x14ac:dyDescent="0.3">
      <c r="A181" s="254" t="s">
        <v>289</v>
      </c>
      <c r="B181" s="254"/>
      <c r="C181" s="254"/>
      <c r="D181" s="254"/>
      <c r="E181" s="254"/>
      <c r="F181" s="12">
        <f t="shared" ref="F181:Q181" si="48">SUM(F182:F225)</f>
        <v>902</v>
      </c>
      <c r="G181" s="12">
        <f t="shared" si="48"/>
        <v>924</v>
      </c>
      <c r="H181" s="12">
        <f t="shared" si="30"/>
        <v>333.5</v>
      </c>
      <c r="I181" s="12">
        <f t="shared" si="31"/>
        <v>345.75</v>
      </c>
      <c r="J181" s="12">
        <f>ROUND('2022.'!K181*1.025,0)</f>
        <v>4002</v>
      </c>
      <c r="K181" s="12">
        <f t="shared" si="48"/>
        <v>4149</v>
      </c>
      <c r="L181" s="12">
        <f t="shared" ref="L181" si="49">SUM(L182:L225)</f>
        <v>3233</v>
      </c>
      <c r="M181" s="12">
        <f t="shared" si="48"/>
        <v>3353</v>
      </c>
      <c r="N181" s="13" t="s">
        <v>426</v>
      </c>
      <c r="O181" s="14">
        <f t="shared" si="48"/>
        <v>1986272.9619999994</v>
      </c>
      <c r="P181" s="12">
        <f t="shared" si="48"/>
        <v>770</v>
      </c>
      <c r="Q181" s="12">
        <f t="shared" si="48"/>
        <v>796</v>
      </c>
    </row>
    <row r="182" spans="1:17" ht="14.5" x14ac:dyDescent="0.3">
      <c r="A182" s="16">
        <v>166</v>
      </c>
      <c r="B182" s="16">
        <v>7</v>
      </c>
      <c r="C182" s="29" t="s">
        <v>291</v>
      </c>
      <c r="D182" s="24" t="s">
        <v>10</v>
      </c>
      <c r="E182" s="24">
        <v>2</v>
      </c>
      <c r="F182" s="128">
        <f>'2022.'!Q182</f>
        <v>0</v>
      </c>
      <c r="G182" s="128">
        <f>'2022.'!R182</f>
        <v>0</v>
      </c>
      <c r="H182" s="127">
        <f t="shared" si="30"/>
        <v>0.25</v>
      </c>
      <c r="I182" s="109">
        <f t="shared" si="31"/>
        <v>0.25</v>
      </c>
      <c r="J182" s="112">
        <f>ROUND('2022.'!K182*1.025,0)</f>
        <v>3</v>
      </c>
      <c r="K182" s="112">
        <f t="shared" si="34"/>
        <v>3</v>
      </c>
      <c r="L182" s="110">
        <v>3</v>
      </c>
      <c r="M182" s="112">
        <f t="shared" si="35"/>
        <v>3</v>
      </c>
      <c r="N182" s="37">
        <f>'2022.'!O182*1.025</f>
        <v>4.0589999999999993</v>
      </c>
      <c r="O182" s="21">
        <f t="shared" si="32"/>
        <v>12.176999999999998</v>
      </c>
      <c r="P182" s="128">
        <f t="shared" si="33"/>
        <v>0</v>
      </c>
      <c r="Q182" s="128">
        <f t="shared" si="33"/>
        <v>0</v>
      </c>
    </row>
    <row r="183" spans="1:17" ht="14.5" x14ac:dyDescent="0.3">
      <c r="A183" s="16">
        <v>167</v>
      </c>
      <c r="B183" s="16">
        <v>7</v>
      </c>
      <c r="C183" s="29" t="s">
        <v>293</v>
      </c>
      <c r="D183" s="24" t="s">
        <v>10</v>
      </c>
      <c r="E183" s="24">
        <v>2</v>
      </c>
      <c r="F183" s="128">
        <f>'2022.'!Q183</f>
        <v>1</v>
      </c>
      <c r="G183" s="128">
        <f>'2022.'!R183</f>
        <v>1</v>
      </c>
      <c r="H183" s="127">
        <f t="shared" si="30"/>
        <v>0.25</v>
      </c>
      <c r="I183" s="109">
        <f t="shared" si="31"/>
        <v>0.25</v>
      </c>
      <c r="J183" s="112">
        <f>ROUND('2022.'!K183*1.025,0)</f>
        <v>3</v>
      </c>
      <c r="K183" s="112">
        <f t="shared" si="34"/>
        <v>3</v>
      </c>
      <c r="L183" s="110">
        <v>3</v>
      </c>
      <c r="M183" s="112">
        <f t="shared" si="35"/>
        <v>3</v>
      </c>
      <c r="N183" s="37">
        <f>'2022.'!O183*1.025</f>
        <v>13.078999999999999</v>
      </c>
      <c r="O183" s="21">
        <f t="shared" si="32"/>
        <v>39.236999999999995</v>
      </c>
      <c r="P183" s="128">
        <f t="shared" si="33"/>
        <v>0</v>
      </c>
      <c r="Q183" s="128">
        <f t="shared" si="33"/>
        <v>0</v>
      </c>
    </row>
    <row r="184" spans="1:17" ht="14.5" x14ac:dyDescent="0.3">
      <c r="A184" s="16">
        <v>168</v>
      </c>
      <c r="B184" s="16">
        <v>7</v>
      </c>
      <c r="C184" s="29" t="s">
        <v>295</v>
      </c>
      <c r="D184" s="24" t="s">
        <v>6</v>
      </c>
      <c r="E184" s="24">
        <v>2</v>
      </c>
      <c r="F184" s="128">
        <f>'2022.'!Q184</f>
        <v>22</v>
      </c>
      <c r="G184" s="128">
        <f>'2022.'!R184</f>
        <v>44</v>
      </c>
      <c r="H184" s="128">
        <f t="shared" si="30"/>
        <v>12.166666666666666</v>
      </c>
      <c r="I184" s="112">
        <f t="shared" si="31"/>
        <v>24.333333333333332</v>
      </c>
      <c r="J184" s="112">
        <f>ROUND('2022.'!K184*1.025,0)</f>
        <v>146</v>
      </c>
      <c r="K184" s="112">
        <f t="shared" si="34"/>
        <v>292</v>
      </c>
      <c r="L184" s="110">
        <v>120</v>
      </c>
      <c r="M184" s="112">
        <f t="shared" si="35"/>
        <v>240</v>
      </c>
      <c r="N184" s="37">
        <f>'2022.'!O184*1.025</f>
        <v>21.750499999999995</v>
      </c>
      <c r="O184" s="21">
        <f t="shared" si="32"/>
        <v>5220.119999999999</v>
      </c>
      <c r="P184" s="128">
        <f t="shared" si="33"/>
        <v>26</v>
      </c>
      <c r="Q184" s="128">
        <f t="shared" si="33"/>
        <v>52</v>
      </c>
    </row>
    <row r="185" spans="1:17" ht="14.5" x14ac:dyDescent="0.3">
      <c r="A185" s="16">
        <v>169</v>
      </c>
      <c r="B185" s="16">
        <v>7</v>
      </c>
      <c r="C185" s="29" t="s">
        <v>297</v>
      </c>
      <c r="D185" s="24" t="s">
        <v>6</v>
      </c>
      <c r="E185" s="24">
        <v>3</v>
      </c>
      <c r="F185" s="128">
        <f>'2022.'!Q185</f>
        <v>40</v>
      </c>
      <c r="G185" s="128">
        <f>'2022.'!R185</f>
        <v>40</v>
      </c>
      <c r="H185" s="128">
        <f t="shared" si="30"/>
        <v>21.833333333333332</v>
      </c>
      <c r="I185" s="112">
        <f t="shared" si="31"/>
        <v>21.833333333333332</v>
      </c>
      <c r="J185" s="112">
        <f>ROUND('2022.'!K185*1.025,0)</f>
        <v>262</v>
      </c>
      <c r="K185" s="112">
        <f t="shared" si="34"/>
        <v>262</v>
      </c>
      <c r="L185" s="110">
        <v>216</v>
      </c>
      <c r="M185" s="112">
        <f t="shared" si="35"/>
        <v>216</v>
      </c>
      <c r="N185" s="37">
        <f>'2022.'!O185*1.025</f>
        <v>27.439249999999998</v>
      </c>
      <c r="O185" s="21">
        <f t="shared" si="32"/>
        <v>5926.8779999999997</v>
      </c>
      <c r="P185" s="128">
        <f t="shared" si="33"/>
        <v>46</v>
      </c>
      <c r="Q185" s="128">
        <f t="shared" si="33"/>
        <v>46</v>
      </c>
    </row>
    <row r="186" spans="1:17" ht="14.5" x14ac:dyDescent="0.3">
      <c r="A186" s="16">
        <v>170</v>
      </c>
      <c r="B186" s="16">
        <v>7</v>
      </c>
      <c r="C186" s="29" t="s">
        <v>299</v>
      </c>
      <c r="D186" s="24" t="s">
        <v>6</v>
      </c>
      <c r="E186" s="24">
        <v>3</v>
      </c>
      <c r="F186" s="128">
        <f>'2022.'!Q186</f>
        <v>4</v>
      </c>
      <c r="G186" s="128">
        <f>'2022.'!R186</f>
        <v>4</v>
      </c>
      <c r="H186" s="128">
        <f t="shared" si="30"/>
        <v>1.3333333333333333</v>
      </c>
      <c r="I186" s="112">
        <f t="shared" si="31"/>
        <v>1.3333333333333333</v>
      </c>
      <c r="J186" s="112">
        <f>ROUND('2022.'!K186*1.025,0)</f>
        <v>16</v>
      </c>
      <c r="K186" s="112">
        <f t="shared" si="34"/>
        <v>16</v>
      </c>
      <c r="L186" s="110">
        <v>12</v>
      </c>
      <c r="M186" s="112">
        <f t="shared" si="35"/>
        <v>12</v>
      </c>
      <c r="N186" s="37">
        <f>'2022.'!O186*1.025</f>
        <v>34.44</v>
      </c>
      <c r="O186" s="21">
        <f t="shared" si="32"/>
        <v>413.28</v>
      </c>
      <c r="P186" s="128">
        <f t="shared" si="33"/>
        <v>4</v>
      </c>
      <c r="Q186" s="128">
        <f t="shared" si="33"/>
        <v>4</v>
      </c>
    </row>
    <row r="187" spans="1:17" ht="14.5" x14ac:dyDescent="0.3">
      <c r="A187" s="16">
        <v>171</v>
      </c>
      <c r="B187" s="16">
        <v>7</v>
      </c>
      <c r="C187" s="29" t="s">
        <v>301</v>
      </c>
      <c r="D187" s="24" t="s">
        <v>10</v>
      </c>
      <c r="E187" s="24">
        <v>3</v>
      </c>
      <c r="F187" s="128">
        <f>'2022.'!Q187</f>
        <v>1</v>
      </c>
      <c r="G187" s="128">
        <f>'2022.'!R187</f>
        <v>1</v>
      </c>
      <c r="H187" s="128">
        <f t="shared" si="30"/>
        <v>1.3333333333333333</v>
      </c>
      <c r="I187" s="112">
        <f t="shared" si="31"/>
        <v>1.3333333333333333</v>
      </c>
      <c r="J187" s="112">
        <f>ROUND('2022.'!K187*1.025,0)</f>
        <v>16</v>
      </c>
      <c r="K187" s="112">
        <f t="shared" si="34"/>
        <v>16</v>
      </c>
      <c r="L187" s="110">
        <v>15</v>
      </c>
      <c r="M187" s="112">
        <f t="shared" si="35"/>
        <v>15</v>
      </c>
      <c r="N187" s="37">
        <f>'2022.'!O187*1.025</f>
        <v>49.36399999999999</v>
      </c>
      <c r="O187" s="21">
        <f t="shared" si="32"/>
        <v>740.45999999999981</v>
      </c>
      <c r="P187" s="128">
        <f t="shared" si="33"/>
        <v>1</v>
      </c>
      <c r="Q187" s="128">
        <f t="shared" si="33"/>
        <v>1</v>
      </c>
    </row>
    <row r="188" spans="1:17" ht="14.5" x14ac:dyDescent="0.3">
      <c r="A188" s="16">
        <v>172</v>
      </c>
      <c r="B188" s="16">
        <v>7</v>
      </c>
      <c r="C188" s="29" t="s">
        <v>303</v>
      </c>
      <c r="D188" s="24" t="s">
        <v>10</v>
      </c>
      <c r="E188" s="24">
        <v>2</v>
      </c>
      <c r="F188" s="128">
        <f>'2022.'!Q188</f>
        <v>0</v>
      </c>
      <c r="G188" s="128">
        <f>'2022.'!R188</f>
        <v>0</v>
      </c>
      <c r="H188" s="127">
        <f t="shared" si="30"/>
        <v>0.25</v>
      </c>
      <c r="I188" s="109">
        <f t="shared" si="31"/>
        <v>0.25</v>
      </c>
      <c r="J188" s="112">
        <f>ROUND('2022.'!K188*1.025,0)</f>
        <v>3</v>
      </c>
      <c r="K188" s="112">
        <f t="shared" si="34"/>
        <v>3</v>
      </c>
      <c r="L188" s="110">
        <v>3</v>
      </c>
      <c r="M188" s="112">
        <f t="shared" si="35"/>
        <v>3</v>
      </c>
      <c r="N188" s="37">
        <f>'2022.'!O188*1.025</f>
        <v>193.92999999999998</v>
      </c>
      <c r="O188" s="21">
        <f t="shared" si="32"/>
        <v>581.79</v>
      </c>
      <c r="P188" s="128">
        <f t="shared" si="33"/>
        <v>0</v>
      </c>
      <c r="Q188" s="128">
        <f t="shared" si="33"/>
        <v>0</v>
      </c>
    </row>
    <row r="189" spans="1:17" ht="14.5" x14ac:dyDescent="0.3">
      <c r="A189" s="16">
        <v>173</v>
      </c>
      <c r="B189" s="16">
        <v>7</v>
      </c>
      <c r="C189" s="29" t="s">
        <v>305</v>
      </c>
      <c r="D189" s="24" t="s">
        <v>10</v>
      </c>
      <c r="E189" s="24">
        <v>3</v>
      </c>
      <c r="F189" s="128">
        <f>'2022.'!Q189</f>
        <v>10</v>
      </c>
      <c r="G189" s="128">
        <f>'2022.'!R189</f>
        <v>10</v>
      </c>
      <c r="H189" s="128">
        <f t="shared" si="30"/>
        <v>2.9166666666666665</v>
      </c>
      <c r="I189" s="112">
        <f t="shared" si="31"/>
        <v>2.9166666666666665</v>
      </c>
      <c r="J189" s="112">
        <f>ROUND('2022.'!K189*1.025,0)</f>
        <v>35</v>
      </c>
      <c r="K189" s="112">
        <f t="shared" si="34"/>
        <v>35</v>
      </c>
      <c r="L189" s="110">
        <v>24</v>
      </c>
      <c r="M189" s="112">
        <f t="shared" si="35"/>
        <v>24</v>
      </c>
      <c r="N189" s="37">
        <f>'2022.'!O189*1.025</f>
        <v>47.641999999999996</v>
      </c>
      <c r="O189" s="21">
        <f t="shared" si="32"/>
        <v>1143.4079999999999</v>
      </c>
      <c r="P189" s="128">
        <f t="shared" si="33"/>
        <v>11</v>
      </c>
      <c r="Q189" s="128">
        <f t="shared" si="33"/>
        <v>11</v>
      </c>
    </row>
    <row r="190" spans="1:17" ht="14.5" x14ac:dyDescent="0.3">
      <c r="A190" s="16">
        <v>174</v>
      </c>
      <c r="B190" s="16">
        <v>7</v>
      </c>
      <c r="C190" s="29" t="s">
        <v>307</v>
      </c>
      <c r="D190" s="24" t="s">
        <v>10</v>
      </c>
      <c r="E190" s="24">
        <v>3</v>
      </c>
      <c r="F190" s="128">
        <f>'2022.'!Q190</f>
        <v>8</v>
      </c>
      <c r="G190" s="128">
        <f>'2022.'!R190</f>
        <v>8</v>
      </c>
      <c r="H190" s="128">
        <f t="shared" si="30"/>
        <v>3.75</v>
      </c>
      <c r="I190" s="112">
        <f t="shared" si="31"/>
        <v>3.75</v>
      </c>
      <c r="J190" s="112">
        <f>ROUND('2022.'!K190*1.025,0)</f>
        <v>45</v>
      </c>
      <c r="K190" s="112">
        <f t="shared" si="34"/>
        <v>45</v>
      </c>
      <c r="L190" s="110">
        <v>36</v>
      </c>
      <c r="M190" s="112">
        <f t="shared" si="35"/>
        <v>36</v>
      </c>
      <c r="N190" s="37">
        <f>'2022.'!O190*1.025</f>
        <v>52.808</v>
      </c>
      <c r="O190" s="21">
        <f t="shared" si="32"/>
        <v>1901.088</v>
      </c>
      <c r="P190" s="128">
        <f t="shared" si="33"/>
        <v>9</v>
      </c>
      <c r="Q190" s="128">
        <f t="shared" si="33"/>
        <v>9</v>
      </c>
    </row>
    <row r="191" spans="1:17" ht="14.5" x14ac:dyDescent="0.3">
      <c r="A191" s="16">
        <v>175</v>
      </c>
      <c r="B191" s="16">
        <v>7</v>
      </c>
      <c r="C191" s="29" t="s">
        <v>309</v>
      </c>
      <c r="D191" s="24" t="s">
        <v>10</v>
      </c>
      <c r="E191" s="24">
        <v>3</v>
      </c>
      <c r="F191" s="128">
        <f>'2022.'!Q191</f>
        <v>79</v>
      </c>
      <c r="G191" s="128">
        <f>'2022.'!R191</f>
        <v>79</v>
      </c>
      <c r="H191" s="128">
        <f t="shared" si="30"/>
        <v>38.5</v>
      </c>
      <c r="I191" s="112">
        <f t="shared" si="31"/>
        <v>38.5</v>
      </c>
      <c r="J191" s="112">
        <f>ROUND('2022.'!K191*1.025,0)</f>
        <v>462</v>
      </c>
      <c r="K191" s="112">
        <f t="shared" si="34"/>
        <v>462</v>
      </c>
      <c r="L191" s="110">
        <v>400</v>
      </c>
      <c r="M191" s="112">
        <f t="shared" si="35"/>
        <v>400</v>
      </c>
      <c r="N191" s="37">
        <f>'2022.'!O191*1.025</f>
        <v>56.190499999999993</v>
      </c>
      <c r="O191" s="21">
        <f t="shared" si="32"/>
        <v>22476.199999999997</v>
      </c>
      <c r="P191" s="128">
        <f t="shared" si="33"/>
        <v>62</v>
      </c>
      <c r="Q191" s="128">
        <f t="shared" si="33"/>
        <v>62</v>
      </c>
    </row>
    <row r="192" spans="1:17" ht="14.5" x14ac:dyDescent="0.3">
      <c r="A192" s="16">
        <v>176</v>
      </c>
      <c r="B192" s="16">
        <v>7</v>
      </c>
      <c r="C192" s="29" t="s">
        <v>311</v>
      </c>
      <c r="D192" s="24" t="s">
        <v>10</v>
      </c>
      <c r="E192" s="24">
        <v>3</v>
      </c>
      <c r="F192" s="128">
        <f>'2022.'!Q192</f>
        <v>8</v>
      </c>
      <c r="G192" s="128">
        <f>'2022.'!R192</f>
        <v>8</v>
      </c>
      <c r="H192" s="128">
        <f t="shared" si="30"/>
        <v>2.75</v>
      </c>
      <c r="I192" s="112">
        <f t="shared" si="31"/>
        <v>2.75</v>
      </c>
      <c r="J192" s="112">
        <f>ROUND('2022.'!K192*1.025,0)</f>
        <v>33</v>
      </c>
      <c r="K192" s="112">
        <f t="shared" si="34"/>
        <v>33</v>
      </c>
      <c r="L192" s="110">
        <v>24</v>
      </c>
      <c r="M192" s="112">
        <f t="shared" si="35"/>
        <v>24</v>
      </c>
      <c r="N192" s="37">
        <f>'2022.'!O192*1.025</f>
        <v>82.655999999999992</v>
      </c>
      <c r="O192" s="21">
        <f t="shared" si="32"/>
        <v>1983.7439999999997</v>
      </c>
      <c r="P192" s="128">
        <f t="shared" si="33"/>
        <v>9</v>
      </c>
      <c r="Q192" s="128">
        <f t="shared" si="33"/>
        <v>9</v>
      </c>
    </row>
    <row r="193" spans="1:17" ht="14.5" x14ac:dyDescent="0.3">
      <c r="A193" s="16">
        <v>177</v>
      </c>
      <c r="B193" s="16">
        <v>7</v>
      </c>
      <c r="C193" s="29" t="s">
        <v>313</v>
      </c>
      <c r="D193" s="24" t="s">
        <v>10</v>
      </c>
      <c r="E193" s="24">
        <v>2</v>
      </c>
      <c r="F193" s="128">
        <f>'2022.'!Q193</f>
        <v>0</v>
      </c>
      <c r="G193" s="128">
        <f>'2022.'!R193</f>
        <v>0</v>
      </c>
      <c r="H193" s="127">
        <f t="shared" si="30"/>
        <v>0.25</v>
      </c>
      <c r="I193" s="109">
        <f t="shared" si="31"/>
        <v>0.25</v>
      </c>
      <c r="J193" s="112">
        <f>ROUND('2022.'!K193*1.025,0)</f>
        <v>3</v>
      </c>
      <c r="K193" s="112">
        <f t="shared" si="34"/>
        <v>3</v>
      </c>
      <c r="L193" s="110">
        <v>3</v>
      </c>
      <c r="M193" s="112">
        <f t="shared" si="35"/>
        <v>3</v>
      </c>
      <c r="N193" s="37">
        <f>'2022.'!O193*1.025</f>
        <v>172.2</v>
      </c>
      <c r="O193" s="21">
        <f t="shared" si="32"/>
        <v>516.59999999999991</v>
      </c>
      <c r="P193" s="128">
        <f t="shared" si="33"/>
        <v>0</v>
      </c>
      <c r="Q193" s="128">
        <f t="shared" si="33"/>
        <v>0</v>
      </c>
    </row>
    <row r="194" spans="1:17" ht="14.5" x14ac:dyDescent="0.3">
      <c r="A194" s="16">
        <v>178</v>
      </c>
      <c r="B194" s="16">
        <v>7</v>
      </c>
      <c r="C194" s="29" t="s">
        <v>315</v>
      </c>
      <c r="D194" s="24" t="s">
        <v>10</v>
      </c>
      <c r="E194" s="24">
        <v>2</v>
      </c>
      <c r="F194" s="128">
        <f>'2022.'!Q194</f>
        <v>1</v>
      </c>
      <c r="G194" s="128">
        <f>'2022.'!R194</f>
        <v>1</v>
      </c>
      <c r="H194" s="128">
        <f t="shared" si="30"/>
        <v>1.0833333333333333</v>
      </c>
      <c r="I194" s="112">
        <f t="shared" si="31"/>
        <v>1.0833333333333333</v>
      </c>
      <c r="J194" s="112">
        <f>ROUND('2022.'!K194*1.025,0)</f>
        <v>13</v>
      </c>
      <c r="K194" s="112">
        <f t="shared" si="34"/>
        <v>13</v>
      </c>
      <c r="L194" s="110">
        <v>12</v>
      </c>
      <c r="M194" s="112">
        <f t="shared" si="35"/>
        <v>12</v>
      </c>
      <c r="N194" s="37">
        <f>'2022.'!O194*1.025</f>
        <v>1088.3039999999999</v>
      </c>
      <c r="O194" s="21">
        <f t="shared" si="32"/>
        <v>13059.647999999997</v>
      </c>
      <c r="P194" s="128">
        <f t="shared" si="33"/>
        <v>1</v>
      </c>
      <c r="Q194" s="128">
        <f t="shared" si="33"/>
        <v>1</v>
      </c>
    </row>
    <row r="195" spans="1:17" ht="14.5" x14ac:dyDescent="0.3">
      <c r="A195" s="16">
        <v>179</v>
      </c>
      <c r="B195" s="16">
        <v>7</v>
      </c>
      <c r="C195" s="29" t="s">
        <v>317</v>
      </c>
      <c r="D195" s="24" t="s">
        <v>10</v>
      </c>
      <c r="E195" s="24">
        <v>3</v>
      </c>
      <c r="F195" s="128">
        <f>'2022.'!Q195</f>
        <v>21</v>
      </c>
      <c r="G195" s="128">
        <f>'2022.'!R195</f>
        <v>21</v>
      </c>
      <c r="H195" s="128">
        <f t="shared" si="30"/>
        <v>9</v>
      </c>
      <c r="I195" s="112">
        <f t="shared" si="31"/>
        <v>9</v>
      </c>
      <c r="J195" s="112">
        <f>ROUND('2022.'!K195*1.025,0)</f>
        <v>108</v>
      </c>
      <c r="K195" s="112">
        <f t="shared" si="34"/>
        <v>108</v>
      </c>
      <c r="L195" s="110">
        <v>84</v>
      </c>
      <c r="M195" s="112">
        <f t="shared" si="35"/>
        <v>84</v>
      </c>
      <c r="N195" s="37">
        <f>'2022.'!O195*1.025</f>
        <v>68.88</v>
      </c>
      <c r="O195" s="21">
        <f t="shared" si="32"/>
        <v>5785.92</v>
      </c>
      <c r="P195" s="128">
        <f t="shared" si="33"/>
        <v>24</v>
      </c>
      <c r="Q195" s="128">
        <f t="shared" si="33"/>
        <v>24</v>
      </c>
    </row>
    <row r="196" spans="1:17" ht="14.5" x14ac:dyDescent="0.3">
      <c r="A196" s="16">
        <v>180</v>
      </c>
      <c r="B196" s="16">
        <v>7</v>
      </c>
      <c r="C196" s="29" t="s">
        <v>319</v>
      </c>
      <c r="D196" s="24" t="s">
        <v>10</v>
      </c>
      <c r="E196" s="24">
        <v>2</v>
      </c>
      <c r="F196" s="128">
        <f>'2022.'!Q196</f>
        <v>0</v>
      </c>
      <c r="G196" s="128">
        <f>'2022.'!R196</f>
        <v>0</v>
      </c>
      <c r="H196" s="128">
        <f t="shared" si="30"/>
        <v>1</v>
      </c>
      <c r="I196" s="112">
        <f t="shared" si="31"/>
        <v>1</v>
      </c>
      <c r="J196" s="112">
        <f>ROUND('2022.'!K196*1.025,0)</f>
        <v>12</v>
      </c>
      <c r="K196" s="112">
        <f t="shared" si="34"/>
        <v>12</v>
      </c>
      <c r="L196" s="110">
        <v>12</v>
      </c>
      <c r="M196" s="112">
        <f t="shared" si="35"/>
        <v>12</v>
      </c>
      <c r="N196" s="37">
        <f>'2022.'!O196*1.025</f>
        <v>899.74499999999989</v>
      </c>
      <c r="O196" s="21">
        <f t="shared" si="32"/>
        <v>10796.939999999999</v>
      </c>
      <c r="P196" s="128">
        <f t="shared" si="33"/>
        <v>0</v>
      </c>
      <c r="Q196" s="128">
        <f t="shared" si="33"/>
        <v>0</v>
      </c>
    </row>
    <row r="197" spans="1:17" ht="14.5" x14ac:dyDescent="0.3">
      <c r="A197" s="16">
        <v>181</v>
      </c>
      <c r="B197" s="16">
        <v>7</v>
      </c>
      <c r="C197" s="29" t="s">
        <v>321</v>
      </c>
      <c r="D197" s="24" t="s">
        <v>10</v>
      </c>
      <c r="E197" s="24">
        <v>2</v>
      </c>
      <c r="F197" s="128">
        <f>'2022.'!Q197</f>
        <v>1</v>
      </c>
      <c r="G197" s="128">
        <f>'2022.'!R197</f>
        <v>1</v>
      </c>
      <c r="H197" s="128">
        <f t="shared" si="30"/>
        <v>1.0833333333333333</v>
      </c>
      <c r="I197" s="112">
        <f t="shared" si="31"/>
        <v>1.0833333333333333</v>
      </c>
      <c r="J197" s="112">
        <f>ROUND('2022.'!K197*1.025,0)</f>
        <v>13</v>
      </c>
      <c r="K197" s="112">
        <f t="shared" si="34"/>
        <v>13</v>
      </c>
      <c r="L197" s="110">
        <v>12</v>
      </c>
      <c r="M197" s="112">
        <f t="shared" si="35"/>
        <v>12</v>
      </c>
      <c r="N197" s="37">
        <f>'2022.'!O197*1.025</f>
        <v>1488.9559999999999</v>
      </c>
      <c r="O197" s="21">
        <f t="shared" si="32"/>
        <v>17867.471999999998</v>
      </c>
      <c r="P197" s="128">
        <f t="shared" si="33"/>
        <v>1</v>
      </c>
      <c r="Q197" s="128">
        <f t="shared" si="33"/>
        <v>1</v>
      </c>
    </row>
    <row r="198" spans="1:17" ht="14.5" x14ac:dyDescent="0.3">
      <c r="A198" s="16">
        <v>182</v>
      </c>
      <c r="B198" s="16">
        <v>7</v>
      </c>
      <c r="C198" s="29" t="s">
        <v>323</v>
      </c>
      <c r="D198" s="24" t="s">
        <v>10</v>
      </c>
      <c r="E198" s="24">
        <v>3</v>
      </c>
      <c r="F198" s="128">
        <f>'2022.'!Q198</f>
        <v>13</v>
      </c>
      <c r="G198" s="128">
        <f>'2022.'!R198</f>
        <v>13</v>
      </c>
      <c r="H198" s="128">
        <f t="shared" si="30"/>
        <v>5.25</v>
      </c>
      <c r="I198" s="112">
        <f t="shared" si="31"/>
        <v>5.25</v>
      </c>
      <c r="J198" s="112">
        <f>ROUND('2022.'!K198*1.025,0)</f>
        <v>63</v>
      </c>
      <c r="K198" s="112">
        <f t="shared" si="34"/>
        <v>63</v>
      </c>
      <c r="L198" s="110">
        <v>48</v>
      </c>
      <c r="M198" s="112">
        <f t="shared" si="35"/>
        <v>48</v>
      </c>
      <c r="N198" s="37">
        <f>'2022.'!O198*1.025</f>
        <v>2361.4360000000001</v>
      </c>
      <c r="O198" s="21">
        <f t="shared" si="32"/>
        <v>113348.92800000001</v>
      </c>
      <c r="P198" s="128">
        <f t="shared" si="33"/>
        <v>15</v>
      </c>
      <c r="Q198" s="128">
        <f t="shared" si="33"/>
        <v>15</v>
      </c>
    </row>
    <row r="199" spans="1:17" ht="14.5" x14ac:dyDescent="0.3">
      <c r="A199" s="16">
        <v>183</v>
      </c>
      <c r="B199" s="16">
        <v>7</v>
      </c>
      <c r="C199" s="29" t="s">
        <v>325</v>
      </c>
      <c r="D199" s="24" t="s">
        <v>10</v>
      </c>
      <c r="E199" s="24">
        <v>4</v>
      </c>
      <c r="F199" s="128">
        <f>'2022.'!Q199</f>
        <v>10</v>
      </c>
      <c r="G199" s="128">
        <f>'2022.'!R199</f>
        <v>10</v>
      </c>
      <c r="H199" s="128">
        <f t="shared" si="30"/>
        <v>10.083333333333334</v>
      </c>
      <c r="I199" s="112">
        <f t="shared" si="31"/>
        <v>10.083333333333334</v>
      </c>
      <c r="J199" s="112">
        <f>ROUND('2022.'!K199*1.025,0)</f>
        <v>121</v>
      </c>
      <c r="K199" s="112">
        <f t="shared" si="34"/>
        <v>121</v>
      </c>
      <c r="L199" s="110">
        <v>108</v>
      </c>
      <c r="M199" s="112">
        <f t="shared" si="35"/>
        <v>108</v>
      </c>
      <c r="N199" s="37">
        <f>'2022.'!O199*1.025</f>
        <v>608.37849999999992</v>
      </c>
      <c r="O199" s="21">
        <f t="shared" si="32"/>
        <v>65704.877999999997</v>
      </c>
      <c r="P199" s="128">
        <f t="shared" si="33"/>
        <v>13</v>
      </c>
      <c r="Q199" s="128">
        <f t="shared" si="33"/>
        <v>13</v>
      </c>
    </row>
    <row r="200" spans="1:17" ht="14.5" x14ac:dyDescent="0.3">
      <c r="A200" s="16">
        <v>184</v>
      </c>
      <c r="B200" s="16">
        <v>7</v>
      </c>
      <c r="C200" s="29" t="s">
        <v>327</v>
      </c>
      <c r="D200" s="24" t="s">
        <v>10</v>
      </c>
      <c r="E200" s="24">
        <v>3</v>
      </c>
      <c r="F200" s="128">
        <f>'2022.'!Q200</f>
        <v>0</v>
      </c>
      <c r="G200" s="128">
        <f>'2022.'!R200</f>
        <v>0</v>
      </c>
      <c r="H200" s="128">
        <f t="shared" si="30"/>
        <v>0.58333333333333337</v>
      </c>
      <c r="I200" s="112">
        <f t="shared" si="31"/>
        <v>0.58333333333333337</v>
      </c>
      <c r="J200" s="112">
        <f>ROUND('2022.'!K200*1.025,0)</f>
        <v>7</v>
      </c>
      <c r="K200" s="112">
        <f t="shared" si="34"/>
        <v>7</v>
      </c>
      <c r="L200" s="110">
        <v>6</v>
      </c>
      <c r="M200" s="112">
        <f t="shared" si="35"/>
        <v>6</v>
      </c>
      <c r="N200" s="37">
        <f>'2022.'!O200*1.025</f>
        <v>517.74799999999993</v>
      </c>
      <c r="O200" s="21">
        <f t="shared" si="32"/>
        <v>3106.4879999999994</v>
      </c>
      <c r="P200" s="128">
        <f t="shared" si="33"/>
        <v>1</v>
      </c>
      <c r="Q200" s="128">
        <f t="shared" si="33"/>
        <v>1</v>
      </c>
    </row>
    <row r="201" spans="1:17" ht="14.5" x14ac:dyDescent="0.3">
      <c r="A201" s="16">
        <v>185</v>
      </c>
      <c r="B201" s="16">
        <v>7</v>
      </c>
      <c r="C201" s="26" t="s">
        <v>328</v>
      </c>
      <c r="D201" s="27" t="s">
        <v>6</v>
      </c>
      <c r="E201" s="27">
        <v>2</v>
      </c>
      <c r="F201" s="128">
        <f>'2022.'!Q201</f>
        <v>0</v>
      </c>
      <c r="G201" s="128">
        <f>'2022.'!R201</f>
        <v>0</v>
      </c>
      <c r="H201" s="128">
        <f t="shared" ref="H201:H245" si="50">J201/12</f>
        <v>3.0833333333333335</v>
      </c>
      <c r="I201" s="112">
        <f t="shared" ref="I201:I245" si="51">K201/12</f>
        <v>3.0833333333333335</v>
      </c>
      <c r="J201" s="112">
        <f>ROUND('2022.'!K201*1.025,0)</f>
        <v>37</v>
      </c>
      <c r="K201" s="112">
        <f t="shared" si="34"/>
        <v>37</v>
      </c>
      <c r="L201" s="110">
        <v>36</v>
      </c>
      <c r="M201" s="112">
        <f t="shared" si="35"/>
        <v>36</v>
      </c>
      <c r="N201" s="37">
        <f>'2022.'!O201*1.025</f>
        <v>1456.5249999999999</v>
      </c>
      <c r="O201" s="21">
        <f t="shared" ref="O201:O245" si="52">N201*M201</f>
        <v>52434.899999999994</v>
      </c>
      <c r="P201" s="128">
        <f t="shared" ref="P201:Q245" si="53">J201-L201</f>
        <v>1</v>
      </c>
      <c r="Q201" s="128">
        <f t="shared" si="53"/>
        <v>1</v>
      </c>
    </row>
    <row r="202" spans="1:17" ht="24.65" customHeight="1" x14ac:dyDescent="0.3">
      <c r="A202" s="16">
        <v>186</v>
      </c>
      <c r="B202" s="16">
        <v>7</v>
      </c>
      <c r="C202" s="29" t="s">
        <v>330</v>
      </c>
      <c r="D202" s="24" t="s">
        <v>10</v>
      </c>
      <c r="E202" s="24">
        <v>3</v>
      </c>
      <c r="F202" s="128">
        <f>'2022.'!Q202</f>
        <v>221</v>
      </c>
      <c r="G202" s="128">
        <f>'2022.'!R202</f>
        <v>221</v>
      </c>
      <c r="H202" s="128">
        <f t="shared" si="50"/>
        <v>100.91666666666667</v>
      </c>
      <c r="I202" s="112">
        <f t="shared" si="51"/>
        <v>100.91666666666667</v>
      </c>
      <c r="J202" s="112">
        <f>ROUND('2022.'!K202*1.025,0)</f>
        <v>1211</v>
      </c>
      <c r="K202" s="112">
        <f t="shared" si="34"/>
        <v>1211</v>
      </c>
      <c r="L202" s="110">
        <v>1050</v>
      </c>
      <c r="M202" s="112">
        <f t="shared" si="35"/>
        <v>1050</v>
      </c>
      <c r="N202" s="37">
        <f>'2022.'!O202*1.025</f>
        <v>210.02249999999998</v>
      </c>
      <c r="O202" s="21">
        <f t="shared" si="52"/>
        <v>220523.62499999997</v>
      </c>
      <c r="P202" s="128">
        <f t="shared" si="53"/>
        <v>161</v>
      </c>
      <c r="Q202" s="128">
        <f t="shared" si="53"/>
        <v>161</v>
      </c>
    </row>
    <row r="203" spans="1:17" ht="45" customHeight="1" x14ac:dyDescent="0.3">
      <c r="A203" s="16">
        <v>187</v>
      </c>
      <c r="B203" s="16">
        <v>7</v>
      </c>
      <c r="C203" s="29" t="s">
        <v>332</v>
      </c>
      <c r="D203" s="24" t="s">
        <v>10</v>
      </c>
      <c r="E203" s="24">
        <v>3</v>
      </c>
      <c r="F203" s="128">
        <f>'2022.'!Q203</f>
        <v>0</v>
      </c>
      <c r="G203" s="128">
        <f>'2022.'!R203</f>
        <v>0</v>
      </c>
      <c r="H203" s="127">
        <f t="shared" si="50"/>
        <v>0.25</v>
      </c>
      <c r="I203" s="109">
        <f t="shared" si="51"/>
        <v>0.25</v>
      </c>
      <c r="J203" s="112">
        <f>ROUND('2022.'!K203*1.025,0)</f>
        <v>3</v>
      </c>
      <c r="K203" s="112">
        <f t="shared" si="34"/>
        <v>3</v>
      </c>
      <c r="L203" s="110">
        <v>3</v>
      </c>
      <c r="M203" s="112">
        <f t="shared" si="35"/>
        <v>3</v>
      </c>
      <c r="N203" s="37">
        <f>'2022.'!O203*1.025</f>
        <v>1457.96</v>
      </c>
      <c r="O203" s="21">
        <f t="shared" si="52"/>
        <v>4373.88</v>
      </c>
      <c r="P203" s="128">
        <f t="shared" si="53"/>
        <v>0</v>
      </c>
      <c r="Q203" s="128">
        <f t="shared" si="53"/>
        <v>0</v>
      </c>
    </row>
    <row r="204" spans="1:17" ht="45" customHeight="1" x14ac:dyDescent="0.3">
      <c r="A204" s="16">
        <v>188</v>
      </c>
      <c r="B204" s="16">
        <v>7</v>
      </c>
      <c r="C204" s="29" t="s">
        <v>334</v>
      </c>
      <c r="D204" s="24" t="s">
        <v>10</v>
      </c>
      <c r="E204" s="24">
        <v>3</v>
      </c>
      <c r="F204" s="128">
        <f>'2022.'!Q204</f>
        <v>36</v>
      </c>
      <c r="G204" s="128">
        <f>'2022.'!R204</f>
        <v>36</v>
      </c>
      <c r="H204" s="128">
        <f t="shared" si="50"/>
        <v>3.5833333333333335</v>
      </c>
      <c r="I204" s="112">
        <f t="shared" si="51"/>
        <v>3.5833333333333335</v>
      </c>
      <c r="J204" s="112">
        <f>ROUND('2022.'!K204*1.025,0)</f>
        <v>43</v>
      </c>
      <c r="K204" s="112">
        <f t="shared" si="34"/>
        <v>43</v>
      </c>
      <c r="L204" s="110">
        <v>24</v>
      </c>
      <c r="M204" s="112">
        <f t="shared" si="35"/>
        <v>24</v>
      </c>
      <c r="N204" s="37">
        <f>'2022.'!O204*1.025</f>
        <v>1572.76</v>
      </c>
      <c r="O204" s="21">
        <f t="shared" si="52"/>
        <v>37746.239999999998</v>
      </c>
      <c r="P204" s="128">
        <f t="shared" si="53"/>
        <v>19</v>
      </c>
      <c r="Q204" s="128">
        <f t="shared" si="53"/>
        <v>19</v>
      </c>
    </row>
    <row r="205" spans="1:17" ht="51" customHeight="1" x14ac:dyDescent="0.3">
      <c r="A205" s="16">
        <v>189</v>
      </c>
      <c r="B205" s="16">
        <v>7</v>
      </c>
      <c r="C205" s="29" t="s">
        <v>336</v>
      </c>
      <c r="D205" s="24" t="s">
        <v>10</v>
      </c>
      <c r="E205" s="24">
        <v>4</v>
      </c>
      <c r="F205" s="128">
        <f>'2022.'!Q205</f>
        <v>10</v>
      </c>
      <c r="G205" s="128">
        <f>'2022.'!R205</f>
        <v>10</v>
      </c>
      <c r="H205" s="128">
        <f t="shared" si="50"/>
        <v>5.333333333333333</v>
      </c>
      <c r="I205" s="112">
        <f t="shared" si="51"/>
        <v>5.333333333333333</v>
      </c>
      <c r="J205" s="112">
        <f>ROUND('2022.'!K205*1.025,0)</f>
        <v>64</v>
      </c>
      <c r="K205" s="112">
        <f t="shared" si="34"/>
        <v>64</v>
      </c>
      <c r="L205" s="110">
        <v>50</v>
      </c>
      <c r="M205" s="112">
        <f t="shared" si="35"/>
        <v>50</v>
      </c>
      <c r="N205" s="37">
        <f>'2022.'!O205*1.025</f>
        <v>2227.12</v>
      </c>
      <c r="O205" s="21">
        <f t="shared" si="52"/>
        <v>111356</v>
      </c>
      <c r="P205" s="128">
        <f t="shared" si="53"/>
        <v>14</v>
      </c>
      <c r="Q205" s="128">
        <f t="shared" si="53"/>
        <v>14</v>
      </c>
    </row>
    <row r="206" spans="1:17" ht="57" customHeight="1" x14ac:dyDescent="0.3">
      <c r="A206" s="16">
        <v>190</v>
      </c>
      <c r="B206" s="16">
        <v>7</v>
      </c>
      <c r="C206" s="29" t="s">
        <v>338</v>
      </c>
      <c r="D206" s="24" t="s">
        <v>10</v>
      </c>
      <c r="E206" s="24">
        <v>4</v>
      </c>
      <c r="F206" s="128">
        <f>'2022.'!Q206</f>
        <v>20</v>
      </c>
      <c r="G206" s="128">
        <f>'2022.'!R206</f>
        <v>20</v>
      </c>
      <c r="H206" s="128">
        <f t="shared" si="50"/>
        <v>2.1666666666666665</v>
      </c>
      <c r="I206" s="112">
        <f t="shared" si="51"/>
        <v>2.1666666666666665</v>
      </c>
      <c r="J206" s="112">
        <f>ROUND('2022.'!K206*1.025,0)</f>
        <v>26</v>
      </c>
      <c r="K206" s="112">
        <f t="shared" si="34"/>
        <v>26</v>
      </c>
      <c r="L206" s="110">
        <v>12</v>
      </c>
      <c r="M206" s="112">
        <f t="shared" si="35"/>
        <v>12</v>
      </c>
      <c r="N206" s="37">
        <f>'2022.'!O206*1.025</f>
        <v>2168.5719999999997</v>
      </c>
      <c r="O206" s="21">
        <f t="shared" si="52"/>
        <v>26022.863999999994</v>
      </c>
      <c r="P206" s="128">
        <f t="shared" si="53"/>
        <v>14</v>
      </c>
      <c r="Q206" s="128">
        <f t="shared" si="53"/>
        <v>14</v>
      </c>
    </row>
    <row r="207" spans="1:17" ht="52" x14ac:dyDescent="0.3">
      <c r="A207" s="16">
        <v>191</v>
      </c>
      <c r="B207" s="16">
        <v>7</v>
      </c>
      <c r="C207" s="29" t="s">
        <v>340</v>
      </c>
      <c r="D207" s="24" t="s">
        <v>10</v>
      </c>
      <c r="E207" s="24">
        <v>4</v>
      </c>
      <c r="F207" s="128">
        <f>'2022.'!Q207</f>
        <v>25</v>
      </c>
      <c r="G207" s="128">
        <f>'2022.'!R207</f>
        <v>25</v>
      </c>
      <c r="H207" s="128">
        <f t="shared" si="50"/>
        <v>2.6666666666666665</v>
      </c>
      <c r="I207" s="112">
        <f t="shared" si="51"/>
        <v>2.6666666666666665</v>
      </c>
      <c r="J207" s="112">
        <f>ROUND('2022.'!K207*1.025,0)</f>
        <v>32</v>
      </c>
      <c r="K207" s="112">
        <f t="shared" si="34"/>
        <v>32</v>
      </c>
      <c r="L207" s="110">
        <v>12</v>
      </c>
      <c r="M207" s="112">
        <f t="shared" si="35"/>
        <v>12</v>
      </c>
      <c r="N207" s="37">
        <f>'2022.'!O207*1.025</f>
        <v>2416.5399999999995</v>
      </c>
      <c r="O207" s="21">
        <f t="shared" si="52"/>
        <v>28998.479999999996</v>
      </c>
      <c r="P207" s="128">
        <f t="shared" si="53"/>
        <v>20</v>
      </c>
      <c r="Q207" s="128">
        <f t="shared" si="53"/>
        <v>20</v>
      </c>
    </row>
    <row r="208" spans="1:17" ht="42.65" customHeight="1" x14ac:dyDescent="0.3">
      <c r="A208" s="16">
        <v>192</v>
      </c>
      <c r="B208" s="16">
        <v>7</v>
      </c>
      <c r="C208" s="29" t="s">
        <v>342</v>
      </c>
      <c r="D208" s="24" t="s">
        <v>10</v>
      </c>
      <c r="E208" s="24">
        <v>4</v>
      </c>
      <c r="F208" s="128">
        <f>'2022.'!Q208</f>
        <v>33</v>
      </c>
      <c r="G208" s="128">
        <f>'2022.'!R208</f>
        <v>33</v>
      </c>
      <c r="H208" s="128">
        <f t="shared" si="50"/>
        <v>6</v>
      </c>
      <c r="I208" s="112">
        <f t="shared" si="51"/>
        <v>6</v>
      </c>
      <c r="J208" s="112">
        <f>ROUND('2022.'!K208*1.025,0)</f>
        <v>72</v>
      </c>
      <c r="K208" s="112">
        <f t="shared" si="34"/>
        <v>72</v>
      </c>
      <c r="L208" s="110">
        <v>36</v>
      </c>
      <c r="M208" s="112">
        <f t="shared" si="35"/>
        <v>36</v>
      </c>
      <c r="N208" s="37">
        <f>'2022.'!O208*1.025</f>
        <v>1641.6399999999999</v>
      </c>
      <c r="O208" s="21">
        <f t="shared" si="52"/>
        <v>59099.039999999994</v>
      </c>
      <c r="P208" s="128">
        <f t="shared" si="53"/>
        <v>36</v>
      </c>
      <c r="Q208" s="128">
        <f t="shared" si="53"/>
        <v>36</v>
      </c>
    </row>
    <row r="209" spans="1:17" ht="14.5" x14ac:dyDescent="0.3">
      <c r="A209" s="16">
        <v>193</v>
      </c>
      <c r="B209" s="16">
        <v>7</v>
      </c>
      <c r="C209" s="29" t="s">
        <v>344</v>
      </c>
      <c r="D209" s="24" t="s">
        <v>6</v>
      </c>
      <c r="E209" s="24">
        <v>4</v>
      </c>
      <c r="F209" s="128">
        <f>'2022.'!Q209</f>
        <v>0</v>
      </c>
      <c r="G209" s="128">
        <f>'2022.'!R209</f>
        <v>0</v>
      </c>
      <c r="H209" s="127">
        <f t="shared" si="50"/>
        <v>0.25</v>
      </c>
      <c r="I209" s="109">
        <f t="shared" si="51"/>
        <v>0.25</v>
      </c>
      <c r="J209" s="112">
        <f>ROUND('2022.'!K209*1.025,0)</f>
        <v>3</v>
      </c>
      <c r="K209" s="112">
        <f t="shared" si="34"/>
        <v>3</v>
      </c>
      <c r="L209" s="110">
        <v>3</v>
      </c>
      <c r="M209" s="112">
        <f t="shared" si="35"/>
        <v>3</v>
      </c>
      <c r="N209" s="37">
        <f>'2022.'!O209*1.025</f>
        <v>3770.0319999999997</v>
      </c>
      <c r="O209" s="21">
        <f t="shared" si="52"/>
        <v>11310.096</v>
      </c>
      <c r="P209" s="128">
        <f t="shared" si="53"/>
        <v>0</v>
      </c>
      <c r="Q209" s="128">
        <f t="shared" si="53"/>
        <v>0</v>
      </c>
    </row>
    <row r="210" spans="1:17" ht="26" x14ac:dyDescent="0.3">
      <c r="A210" s="16">
        <v>194</v>
      </c>
      <c r="B210" s="16">
        <v>7</v>
      </c>
      <c r="C210" s="29" t="s">
        <v>346</v>
      </c>
      <c r="D210" s="24" t="s">
        <v>10</v>
      </c>
      <c r="E210" s="24">
        <v>3</v>
      </c>
      <c r="F210" s="128">
        <f>'2022.'!Q210</f>
        <v>14</v>
      </c>
      <c r="G210" s="128">
        <f>'2022.'!R210</f>
        <v>14</v>
      </c>
      <c r="H210" s="128">
        <f t="shared" si="50"/>
        <v>5.333333333333333</v>
      </c>
      <c r="I210" s="112">
        <f t="shared" si="51"/>
        <v>5.333333333333333</v>
      </c>
      <c r="J210" s="112">
        <f>ROUND('2022.'!K210*1.025,0)</f>
        <v>64</v>
      </c>
      <c r="K210" s="112">
        <f t="shared" si="34"/>
        <v>64</v>
      </c>
      <c r="L210" s="110">
        <v>48</v>
      </c>
      <c r="M210" s="112">
        <f t="shared" si="35"/>
        <v>48</v>
      </c>
      <c r="N210" s="37">
        <f>'2022.'!O210*1.025</f>
        <v>236.48799999999997</v>
      </c>
      <c r="O210" s="21">
        <f t="shared" si="52"/>
        <v>11351.423999999999</v>
      </c>
      <c r="P210" s="128">
        <f t="shared" si="53"/>
        <v>16</v>
      </c>
      <c r="Q210" s="128">
        <f t="shared" si="53"/>
        <v>16</v>
      </c>
    </row>
    <row r="211" spans="1:17" ht="33" customHeight="1" x14ac:dyDescent="0.3">
      <c r="A211" s="16">
        <v>195</v>
      </c>
      <c r="B211" s="16">
        <v>7</v>
      </c>
      <c r="C211" s="29" t="s">
        <v>348</v>
      </c>
      <c r="D211" s="24" t="s">
        <v>10</v>
      </c>
      <c r="E211" s="24">
        <v>2</v>
      </c>
      <c r="F211" s="128">
        <f>'2022.'!Q211</f>
        <v>9</v>
      </c>
      <c r="G211" s="128">
        <f>'2022.'!R211</f>
        <v>9</v>
      </c>
      <c r="H211" s="128">
        <f t="shared" si="50"/>
        <v>3.8333333333333335</v>
      </c>
      <c r="I211" s="112">
        <f t="shared" si="51"/>
        <v>3.8333333333333335</v>
      </c>
      <c r="J211" s="112">
        <f>ROUND('2022.'!K211*1.025,0)</f>
        <v>46</v>
      </c>
      <c r="K211" s="112">
        <f t="shared" ref="K211:K245" si="54">ROUND(IF(F211=0,J211,J211*(G211/F211)),0)</f>
        <v>46</v>
      </c>
      <c r="L211" s="110">
        <v>36</v>
      </c>
      <c r="M211" s="112">
        <f t="shared" ref="M211:M245" si="55">ROUND(IF(F211=0,L211,L211*(G211/F211)),0)</f>
        <v>36</v>
      </c>
      <c r="N211" s="37">
        <f>'2022.'!O211*1.025</f>
        <v>826.56</v>
      </c>
      <c r="O211" s="21">
        <f t="shared" si="52"/>
        <v>29756.159999999996</v>
      </c>
      <c r="P211" s="128">
        <f t="shared" si="53"/>
        <v>10</v>
      </c>
      <c r="Q211" s="128">
        <f t="shared" si="53"/>
        <v>10</v>
      </c>
    </row>
    <row r="212" spans="1:17" ht="33" customHeight="1" x14ac:dyDescent="0.3">
      <c r="A212" s="16">
        <v>196</v>
      </c>
      <c r="B212" s="16">
        <v>7</v>
      </c>
      <c r="C212" s="29" t="s">
        <v>350</v>
      </c>
      <c r="D212" s="24" t="s">
        <v>10</v>
      </c>
      <c r="E212" s="24">
        <v>3</v>
      </c>
      <c r="F212" s="128">
        <f>'2022.'!Q212</f>
        <v>1</v>
      </c>
      <c r="G212" s="128">
        <f>'2022.'!R212</f>
        <v>1</v>
      </c>
      <c r="H212" s="128">
        <f t="shared" si="50"/>
        <v>0.5</v>
      </c>
      <c r="I212" s="112">
        <f t="shared" si="51"/>
        <v>0.5</v>
      </c>
      <c r="J212" s="112">
        <f>ROUND('2022.'!K212*1.025,0)</f>
        <v>6</v>
      </c>
      <c r="K212" s="112">
        <f t="shared" si="54"/>
        <v>6</v>
      </c>
      <c r="L212" s="110">
        <v>6</v>
      </c>
      <c r="M212" s="112">
        <f t="shared" si="55"/>
        <v>6</v>
      </c>
      <c r="N212" s="37">
        <f>'2022.'!O212*1.025</f>
        <v>3306.24</v>
      </c>
      <c r="O212" s="21">
        <f t="shared" si="52"/>
        <v>19837.439999999999</v>
      </c>
      <c r="P212" s="128">
        <f t="shared" si="53"/>
        <v>0</v>
      </c>
      <c r="Q212" s="128">
        <f t="shared" si="53"/>
        <v>0</v>
      </c>
    </row>
    <row r="213" spans="1:17" ht="41.4" customHeight="1" x14ac:dyDescent="0.3">
      <c r="A213" s="16">
        <v>197</v>
      </c>
      <c r="B213" s="16">
        <v>7</v>
      </c>
      <c r="C213" s="29" t="s">
        <v>352</v>
      </c>
      <c r="D213" s="24" t="s">
        <v>10</v>
      </c>
      <c r="E213" s="24">
        <v>3</v>
      </c>
      <c r="F213" s="128">
        <f>'2022.'!Q213</f>
        <v>2</v>
      </c>
      <c r="G213" s="128">
        <f>'2022.'!R213</f>
        <v>2</v>
      </c>
      <c r="H213" s="128">
        <f t="shared" si="50"/>
        <v>2.25</v>
      </c>
      <c r="I213" s="112">
        <f t="shared" si="51"/>
        <v>2.25</v>
      </c>
      <c r="J213" s="112">
        <f>ROUND('2022.'!K213*1.025,0)</f>
        <v>27</v>
      </c>
      <c r="K213" s="112">
        <f t="shared" si="54"/>
        <v>27</v>
      </c>
      <c r="L213" s="110">
        <v>24</v>
      </c>
      <c r="M213" s="112">
        <f t="shared" si="55"/>
        <v>24</v>
      </c>
      <c r="N213" s="37">
        <f>'2022.'!O213*1.025</f>
        <v>3437.1120000000001</v>
      </c>
      <c r="O213" s="21">
        <f t="shared" si="52"/>
        <v>82490.687999999995</v>
      </c>
      <c r="P213" s="128">
        <f t="shared" si="53"/>
        <v>3</v>
      </c>
      <c r="Q213" s="128">
        <f t="shared" si="53"/>
        <v>3</v>
      </c>
    </row>
    <row r="214" spans="1:17" ht="14.5" x14ac:dyDescent="0.3">
      <c r="A214" s="16">
        <v>198</v>
      </c>
      <c r="B214" s="16">
        <v>7</v>
      </c>
      <c r="C214" s="29" t="s">
        <v>354</v>
      </c>
      <c r="D214" s="24" t="s">
        <v>10</v>
      </c>
      <c r="E214" s="24">
        <v>6</v>
      </c>
      <c r="F214" s="128">
        <f>'2022.'!Q214</f>
        <v>12</v>
      </c>
      <c r="G214" s="128">
        <f>'2022.'!R214</f>
        <v>12</v>
      </c>
      <c r="H214" s="128">
        <f t="shared" si="50"/>
        <v>2.0833333333333335</v>
      </c>
      <c r="I214" s="112">
        <f t="shared" si="51"/>
        <v>2.0833333333333335</v>
      </c>
      <c r="J214" s="112">
        <f>ROUND('2022.'!K214*1.025,0)</f>
        <v>25</v>
      </c>
      <c r="K214" s="112">
        <f t="shared" si="54"/>
        <v>25</v>
      </c>
      <c r="L214" s="110">
        <v>12</v>
      </c>
      <c r="M214" s="112">
        <f t="shared" si="55"/>
        <v>12</v>
      </c>
      <c r="N214" s="37">
        <f>'2022.'!O214*1.025</f>
        <v>4587.4080000000004</v>
      </c>
      <c r="O214" s="21">
        <f t="shared" si="52"/>
        <v>55048.896000000008</v>
      </c>
      <c r="P214" s="128">
        <f t="shared" si="53"/>
        <v>13</v>
      </c>
      <c r="Q214" s="128">
        <f t="shared" si="53"/>
        <v>13</v>
      </c>
    </row>
    <row r="215" spans="1:17" ht="26" x14ac:dyDescent="0.3">
      <c r="A215" s="16">
        <v>199</v>
      </c>
      <c r="B215" s="16">
        <v>7</v>
      </c>
      <c r="C215" s="29" t="s">
        <v>356</v>
      </c>
      <c r="D215" s="24" t="s">
        <v>10</v>
      </c>
      <c r="E215" s="24">
        <v>3</v>
      </c>
      <c r="F215" s="128">
        <f>'2022.'!Q215</f>
        <v>35</v>
      </c>
      <c r="G215" s="128">
        <f>'2022.'!R215</f>
        <v>35</v>
      </c>
      <c r="H215" s="128">
        <f t="shared" si="50"/>
        <v>9.1666666666666661</v>
      </c>
      <c r="I215" s="112">
        <f t="shared" si="51"/>
        <v>9.1666666666666661</v>
      </c>
      <c r="J215" s="112">
        <f>ROUND('2022.'!K215*1.025,0)</f>
        <v>110</v>
      </c>
      <c r="K215" s="112">
        <f t="shared" si="54"/>
        <v>110</v>
      </c>
      <c r="L215" s="110">
        <v>72</v>
      </c>
      <c r="M215" s="112">
        <f t="shared" si="55"/>
        <v>72</v>
      </c>
      <c r="N215" s="37">
        <f>'2022.'!O215*1.025</f>
        <v>530.37599999999998</v>
      </c>
      <c r="O215" s="21">
        <f t="shared" si="52"/>
        <v>38187.072</v>
      </c>
      <c r="P215" s="128">
        <f t="shared" si="53"/>
        <v>38</v>
      </c>
      <c r="Q215" s="128">
        <f t="shared" si="53"/>
        <v>38</v>
      </c>
    </row>
    <row r="216" spans="1:17" ht="14.5" x14ac:dyDescent="0.3">
      <c r="A216" s="16">
        <v>200</v>
      </c>
      <c r="B216" s="16">
        <v>7</v>
      </c>
      <c r="C216" s="29" t="s">
        <v>358</v>
      </c>
      <c r="D216" s="24" t="s">
        <v>10</v>
      </c>
      <c r="E216" s="24">
        <v>3</v>
      </c>
      <c r="F216" s="128">
        <f>'2022.'!Q216</f>
        <v>161</v>
      </c>
      <c r="G216" s="128">
        <f>'2022.'!R216</f>
        <v>161</v>
      </c>
      <c r="H216" s="128">
        <f t="shared" si="50"/>
        <v>27.083333333333332</v>
      </c>
      <c r="I216" s="112">
        <f t="shared" si="51"/>
        <v>27.083333333333332</v>
      </c>
      <c r="J216" s="112">
        <f>ROUND('2022.'!K216*1.025,0)</f>
        <v>325</v>
      </c>
      <c r="K216" s="112">
        <f t="shared" si="54"/>
        <v>325</v>
      </c>
      <c r="L216" s="110">
        <v>230</v>
      </c>
      <c r="M216" s="112">
        <f t="shared" si="55"/>
        <v>230</v>
      </c>
      <c r="N216" s="37">
        <f>'2022.'!O216*1.025</f>
        <v>152.41749999999996</v>
      </c>
      <c r="O216" s="21">
        <f t="shared" si="52"/>
        <v>35056.024999999994</v>
      </c>
      <c r="P216" s="128">
        <f t="shared" si="53"/>
        <v>95</v>
      </c>
      <c r="Q216" s="128">
        <f t="shared" si="53"/>
        <v>95</v>
      </c>
    </row>
    <row r="217" spans="1:17" ht="26" x14ac:dyDescent="0.3">
      <c r="A217" s="16">
        <v>201</v>
      </c>
      <c r="B217" s="16">
        <v>7</v>
      </c>
      <c r="C217" s="29" t="s">
        <v>359</v>
      </c>
      <c r="D217" s="24" t="s">
        <v>10</v>
      </c>
      <c r="E217" s="24">
        <v>4</v>
      </c>
      <c r="F217" s="128">
        <f>'2022.'!Q217</f>
        <v>1</v>
      </c>
      <c r="G217" s="128">
        <f>'2022.'!R217</f>
        <v>1</v>
      </c>
      <c r="H217" s="128">
        <f t="shared" si="50"/>
        <v>1</v>
      </c>
      <c r="I217" s="112">
        <f t="shared" si="51"/>
        <v>1</v>
      </c>
      <c r="J217" s="112">
        <f>ROUND('2022.'!K217*1.025,0)</f>
        <v>12</v>
      </c>
      <c r="K217" s="112">
        <f t="shared" si="54"/>
        <v>12</v>
      </c>
      <c r="L217" s="110">
        <v>12</v>
      </c>
      <c r="M217" s="112">
        <f t="shared" si="55"/>
        <v>12</v>
      </c>
      <c r="N217" s="37">
        <f>'2022.'!O217*1.025</f>
        <v>1021.7199999999999</v>
      </c>
      <c r="O217" s="21">
        <f t="shared" si="52"/>
        <v>12260.64</v>
      </c>
      <c r="P217" s="128">
        <f t="shared" si="53"/>
        <v>0</v>
      </c>
      <c r="Q217" s="128">
        <f t="shared" si="53"/>
        <v>0</v>
      </c>
    </row>
    <row r="218" spans="1:17" ht="25.75" customHeight="1" x14ac:dyDescent="0.3">
      <c r="A218" s="16">
        <v>202</v>
      </c>
      <c r="B218" s="16">
        <v>7</v>
      </c>
      <c r="C218" s="29" t="s">
        <v>361</v>
      </c>
      <c r="D218" s="24" t="s">
        <v>10</v>
      </c>
      <c r="E218" s="24">
        <v>3</v>
      </c>
      <c r="F218" s="128">
        <f>'2022.'!Q218</f>
        <v>4</v>
      </c>
      <c r="G218" s="128">
        <f>'2022.'!R218</f>
        <v>4</v>
      </c>
      <c r="H218" s="128">
        <f t="shared" si="50"/>
        <v>1.9166666666666667</v>
      </c>
      <c r="I218" s="112">
        <f t="shared" si="51"/>
        <v>1.9166666666666667</v>
      </c>
      <c r="J218" s="112">
        <f>ROUND('2022.'!K218*1.025,0)</f>
        <v>23</v>
      </c>
      <c r="K218" s="112">
        <f t="shared" si="54"/>
        <v>23</v>
      </c>
      <c r="L218" s="110">
        <v>18</v>
      </c>
      <c r="M218" s="112">
        <f t="shared" si="55"/>
        <v>18</v>
      </c>
      <c r="N218" s="37">
        <f>'2022.'!O218*1.025</f>
        <v>2293.7040000000002</v>
      </c>
      <c r="O218" s="21">
        <f t="shared" si="52"/>
        <v>41286.672000000006</v>
      </c>
      <c r="P218" s="128">
        <f t="shared" si="53"/>
        <v>5</v>
      </c>
      <c r="Q218" s="128">
        <f t="shared" si="53"/>
        <v>5</v>
      </c>
    </row>
    <row r="219" spans="1:17" ht="14.5" x14ac:dyDescent="0.3">
      <c r="A219" s="16">
        <v>203</v>
      </c>
      <c r="B219" s="16">
        <v>7</v>
      </c>
      <c r="C219" s="29" t="s">
        <v>363</v>
      </c>
      <c r="D219" s="24" t="s">
        <v>10</v>
      </c>
      <c r="E219" s="24">
        <v>3</v>
      </c>
      <c r="F219" s="128">
        <f>'2022.'!Q219</f>
        <v>27</v>
      </c>
      <c r="G219" s="128">
        <f>'2022.'!R219</f>
        <v>27</v>
      </c>
      <c r="H219" s="128">
        <f t="shared" si="50"/>
        <v>2.5833333333333335</v>
      </c>
      <c r="I219" s="112">
        <f t="shared" si="51"/>
        <v>2.5833333333333335</v>
      </c>
      <c r="J219" s="112">
        <f>ROUND('2022.'!K219*1.025,0)</f>
        <v>31</v>
      </c>
      <c r="K219" s="112">
        <f t="shared" si="54"/>
        <v>31</v>
      </c>
      <c r="L219" s="110">
        <v>3</v>
      </c>
      <c r="M219" s="112">
        <f t="shared" si="55"/>
        <v>3</v>
      </c>
      <c r="N219" s="37">
        <f>'2022.'!O219*1.025</f>
        <v>936.76799999999992</v>
      </c>
      <c r="O219" s="21">
        <f t="shared" si="52"/>
        <v>2810.3039999999996</v>
      </c>
      <c r="P219" s="128">
        <f t="shared" si="53"/>
        <v>28</v>
      </c>
      <c r="Q219" s="128">
        <f t="shared" si="53"/>
        <v>28</v>
      </c>
    </row>
    <row r="220" spans="1:17" ht="27" customHeight="1" x14ac:dyDescent="0.3">
      <c r="A220" s="16">
        <v>204</v>
      </c>
      <c r="B220" s="16">
        <v>7</v>
      </c>
      <c r="C220" s="29" t="s">
        <v>365</v>
      </c>
      <c r="D220" s="24" t="s">
        <v>10</v>
      </c>
      <c r="E220" s="24">
        <v>6</v>
      </c>
      <c r="F220" s="128">
        <f>'2022.'!Q220</f>
        <v>32</v>
      </c>
      <c r="G220" s="128">
        <f>'2022.'!R220</f>
        <v>32</v>
      </c>
      <c r="H220" s="128">
        <f t="shared" si="50"/>
        <v>15.583333333333334</v>
      </c>
      <c r="I220" s="112">
        <f t="shared" si="51"/>
        <v>15.583333333333334</v>
      </c>
      <c r="J220" s="112">
        <f>ROUND('2022.'!K220*1.025,0)</f>
        <v>187</v>
      </c>
      <c r="K220" s="112">
        <f t="shared" si="54"/>
        <v>187</v>
      </c>
      <c r="L220" s="110">
        <v>155</v>
      </c>
      <c r="M220" s="112">
        <f t="shared" si="55"/>
        <v>155</v>
      </c>
      <c r="N220" s="37">
        <f>'2022.'!O220*1.025</f>
        <v>2169.7199999999998</v>
      </c>
      <c r="O220" s="21">
        <f t="shared" si="52"/>
        <v>336306.6</v>
      </c>
      <c r="P220" s="128">
        <f t="shared" si="53"/>
        <v>32</v>
      </c>
      <c r="Q220" s="128">
        <f t="shared" si="53"/>
        <v>32</v>
      </c>
    </row>
    <row r="221" spans="1:17" ht="27" customHeight="1" x14ac:dyDescent="0.3">
      <c r="A221" s="16">
        <v>205</v>
      </c>
      <c r="B221" s="16">
        <v>7</v>
      </c>
      <c r="C221" s="29" t="s">
        <v>367</v>
      </c>
      <c r="D221" s="24" t="s">
        <v>10</v>
      </c>
      <c r="E221" s="24">
        <v>6</v>
      </c>
      <c r="F221" s="128">
        <f>'2022.'!Q221</f>
        <v>23</v>
      </c>
      <c r="G221" s="128">
        <f>'2022.'!R221</f>
        <v>23</v>
      </c>
      <c r="H221" s="128">
        <f t="shared" si="50"/>
        <v>14.75</v>
      </c>
      <c r="I221" s="112">
        <f t="shared" si="51"/>
        <v>14.75</v>
      </c>
      <c r="J221" s="112">
        <f>ROUND('2022.'!K221*1.025,0)</f>
        <v>177</v>
      </c>
      <c r="K221" s="112">
        <f t="shared" si="54"/>
        <v>177</v>
      </c>
      <c r="L221" s="110">
        <v>154</v>
      </c>
      <c r="M221" s="112">
        <f t="shared" si="55"/>
        <v>154</v>
      </c>
      <c r="N221" s="37">
        <f>'2022.'!O221*1.025</f>
        <v>2705.8359999999998</v>
      </c>
      <c r="O221" s="21">
        <f t="shared" si="52"/>
        <v>416698.74399999995</v>
      </c>
      <c r="P221" s="128">
        <f t="shared" si="53"/>
        <v>23</v>
      </c>
      <c r="Q221" s="128">
        <f t="shared" si="53"/>
        <v>23</v>
      </c>
    </row>
    <row r="222" spans="1:17" ht="14.5" x14ac:dyDescent="0.3">
      <c r="A222" s="16">
        <v>206</v>
      </c>
      <c r="B222" s="16">
        <v>7</v>
      </c>
      <c r="C222" s="26" t="s">
        <v>368</v>
      </c>
      <c r="D222" s="24" t="s">
        <v>6</v>
      </c>
      <c r="E222" s="24">
        <v>6</v>
      </c>
      <c r="F222" s="128">
        <f>'2022.'!Q222</f>
        <v>0</v>
      </c>
      <c r="G222" s="128">
        <f>'2022.'!R222</f>
        <v>0</v>
      </c>
      <c r="H222" s="128">
        <f t="shared" si="50"/>
        <v>1</v>
      </c>
      <c r="I222" s="112">
        <f t="shared" si="51"/>
        <v>1</v>
      </c>
      <c r="J222" s="112">
        <f>ROUND('2022.'!K222*1.025,0)</f>
        <v>12</v>
      </c>
      <c r="K222" s="112">
        <f t="shared" si="54"/>
        <v>12</v>
      </c>
      <c r="L222" s="110">
        <v>12</v>
      </c>
      <c r="M222" s="112">
        <f t="shared" si="55"/>
        <v>12</v>
      </c>
      <c r="N222" s="37">
        <f>'2022.'!O222*1.025</f>
        <v>2705.8359999999998</v>
      </c>
      <c r="O222" s="21">
        <f t="shared" si="52"/>
        <v>32470.031999999999</v>
      </c>
      <c r="P222" s="128">
        <f t="shared" si="53"/>
        <v>0</v>
      </c>
      <c r="Q222" s="128">
        <f t="shared" si="53"/>
        <v>0</v>
      </c>
    </row>
    <row r="223" spans="1:17" ht="14.5" x14ac:dyDescent="0.3">
      <c r="A223" s="16">
        <v>207</v>
      </c>
      <c r="B223" s="16">
        <v>7</v>
      </c>
      <c r="C223" s="26" t="s">
        <v>369</v>
      </c>
      <c r="D223" s="24" t="s">
        <v>6</v>
      </c>
      <c r="E223" s="24">
        <v>6</v>
      </c>
      <c r="F223" s="128">
        <f>'2022.'!Q223</f>
        <v>0</v>
      </c>
      <c r="G223" s="128">
        <f>'2022.'!R223</f>
        <v>0</v>
      </c>
      <c r="H223" s="128">
        <f t="shared" si="50"/>
        <v>1</v>
      </c>
      <c r="I223" s="112">
        <f t="shared" si="51"/>
        <v>1</v>
      </c>
      <c r="J223" s="112">
        <f>ROUND('2022.'!K223*1.025,0)</f>
        <v>12</v>
      </c>
      <c r="K223" s="112">
        <f t="shared" si="54"/>
        <v>12</v>
      </c>
      <c r="L223" s="110">
        <v>12</v>
      </c>
      <c r="M223" s="112">
        <f t="shared" si="55"/>
        <v>12</v>
      </c>
      <c r="N223" s="37">
        <f>'2022.'!O223*1.025</f>
        <v>2705.8359999999998</v>
      </c>
      <c r="O223" s="21">
        <f t="shared" si="52"/>
        <v>32470.031999999999</v>
      </c>
      <c r="P223" s="128">
        <f t="shared" si="53"/>
        <v>0</v>
      </c>
      <c r="Q223" s="128">
        <f t="shared" si="53"/>
        <v>0</v>
      </c>
    </row>
    <row r="224" spans="1:17" ht="14.5" x14ac:dyDescent="0.3">
      <c r="A224" s="16">
        <v>208</v>
      </c>
      <c r="B224" s="16">
        <v>7</v>
      </c>
      <c r="C224" s="29" t="s">
        <v>371</v>
      </c>
      <c r="D224" s="24" t="s">
        <v>6</v>
      </c>
      <c r="E224" s="24">
        <v>2</v>
      </c>
      <c r="F224" s="128">
        <f>'2022.'!Q224</f>
        <v>17</v>
      </c>
      <c r="G224" s="128">
        <f>'2022.'!R224</f>
        <v>17</v>
      </c>
      <c r="H224" s="128">
        <f t="shared" si="50"/>
        <v>6.583333333333333</v>
      </c>
      <c r="I224" s="112">
        <f t="shared" si="51"/>
        <v>6.583333333333333</v>
      </c>
      <c r="J224" s="112">
        <f>ROUND('2022.'!K224*1.025,0)</f>
        <v>79</v>
      </c>
      <c r="K224" s="112">
        <f t="shared" si="54"/>
        <v>79</v>
      </c>
      <c r="L224" s="110">
        <v>60</v>
      </c>
      <c r="M224" s="112">
        <f t="shared" si="55"/>
        <v>60</v>
      </c>
      <c r="N224" s="37">
        <f>'2022.'!O224*1.025</f>
        <v>63.293749999999996</v>
      </c>
      <c r="O224" s="21">
        <f t="shared" si="52"/>
        <v>3797.6249999999995</v>
      </c>
      <c r="P224" s="128">
        <f t="shared" si="53"/>
        <v>19</v>
      </c>
      <c r="Q224" s="128">
        <f t="shared" si="53"/>
        <v>19</v>
      </c>
    </row>
    <row r="225" spans="1:17" ht="14.5" x14ac:dyDescent="0.3">
      <c r="A225" s="16">
        <v>209</v>
      </c>
      <c r="B225" s="16">
        <v>7</v>
      </c>
      <c r="C225" s="29" t="s">
        <v>372</v>
      </c>
      <c r="D225" s="24" t="s">
        <v>10</v>
      </c>
      <c r="E225" s="24">
        <v>5</v>
      </c>
      <c r="F225" s="128">
        <f>'2022.'!Q225</f>
        <v>0</v>
      </c>
      <c r="G225" s="128">
        <f>'2022.'!R225</f>
        <v>0</v>
      </c>
      <c r="H225" s="128">
        <f t="shared" si="50"/>
        <v>1</v>
      </c>
      <c r="I225" s="112">
        <f t="shared" si="51"/>
        <v>1</v>
      </c>
      <c r="J225" s="112">
        <f>ROUND('2022.'!K225*1.025,0)</f>
        <v>12</v>
      </c>
      <c r="K225" s="112">
        <f t="shared" si="54"/>
        <v>12</v>
      </c>
      <c r="L225" s="110">
        <v>12</v>
      </c>
      <c r="M225" s="112">
        <f t="shared" si="55"/>
        <v>12</v>
      </c>
      <c r="N225" s="37">
        <f>'2022.'!O225*1.025</f>
        <v>1162.8522499999999</v>
      </c>
      <c r="O225" s="21">
        <f t="shared" si="52"/>
        <v>13954.226999999999</v>
      </c>
      <c r="P225" s="128">
        <f t="shared" si="53"/>
        <v>0</v>
      </c>
      <c r="Q225" s="128">
        <f t="shared" si="53"/>
        <v>0</v>
      </c>
    </row>
    <row r="226" spans="1:17" s="15" customFormat="1" ht="15" customHeight="1" x14ac:dyDescent="0.3">
      <c r="A226" s="254" t="s">
        <v>373</v>
      </c>
      <c r="B226" s="254"/>
      <c r="C226" s="254"/>
      <c r="D226" s="254"/>
      <c r="E226" s="254"/>
      <c r="F226" s="12">
        <f t="shared" ref="F226:Q226" si="56">SUM(F227:F228)</f>
        <v>108</v>
      </c>
      <c r="G226" s="12">
        <f t="shared" si="56"/>
        <v>108</v>
      </c>
      <c r="H226" s="12">
        <f t="shared" si="50"/>
        <v>21.5</v>
      </c>
      <c r="I226" s="12">
        <f t="shared" si="51"/>
        <v>21.583333333333332</v>
      </c>
      <c r="J226" s="12">
        <f>ROUND('2022.'!K226*1.025,0)</f>
        <v>258</v>
      </c>
      <c r="K226" s="12">
        <f t="shared" si="56"/>
        <v>259</v>
      </c>
      <c r="L226" s="12">
        <f t="shared" ref="L226" si="57">SUM(L227:L228)</f>
        <v>144</v>
      </c>
      <c r="M226" s="12">
        <f t="shared" si="56"/>
        <v>144</v>
      </c>
      <c r="N226" s="13" t="s">
        <v>426</v>
      </c>
      <c r="O226" s="14">
        <f t="shared" si="56"/>
        <v>4039.3199999999997</v>
      </c>
      <c r="P226" s="12">
        <f t="shared" si="56"/>
        <v>115</v>
      </c>
      <c r="Q226" s="12">
        <f t="shared" si="56"/>
        <v>115</v>
      </c>
    </row>
    <row r="227" spans="1:17" ht="14.5" x14ac:dyDescent="0.3">
      <c r="A227" s="16">
        <v>210</v>
      </c>
      <c r="B227" s="16">
        <v>8</v>
      </c>
      <c r="C227" s="19" t="s">
        <v>375</v>
      </c>
      <c r="D227" s="20" t="s">
        <v>6</v>
      </c>
      <c r="E227" s="20">
        <v>5</v>
      </c>
      <c r="F227" s="128">
        <f>'2022.'!Q227</f>
        <v>13</v>
      </c>
      <c r="G227" s="128">
        <f>'2022.'!R227</f>
        <v>13</v>
      </c>
      <c r="H227" s="128">
        <f t="shared" si="50"/>
        <v>5.25</v>
      </c>
      <c r="I227" s="112">
        <f t="shared" si="51"/>
        <v>5.25</v>
      </c>
      <c r="J227" s="112">
        <f>ROUND('2022.'!K227*1.025,0)</f>
        <v>63</v>
      </c>
      <c r="K227" s="112">
        <f t="shared" si="54"/>
        <v>63</v>
      </c>
      <c r="L227" s="110">
        <v>48</v>
      </c>
      <c r="M227" s="112">
        <f t="shared" si="55"/>
        <v>48</v>
      </c>
      <c r="N227" s="37">
        <f>'2022.'!O227*1.025</f>
        <v>59.121999999999993</v>
      </c>
      <c r="O227" s="21">
        <f t="shared" si="52"/>
        <v>2837.8559999999998</v>
      </c>
      <c r="P227" s="128">
        <f t="shared" si="53"/>
        <v>15</v>
      </c>
      <c r="Q227" s="128">
        <f t="shared" si="53"/>
        <v>15</v>
      </c>
    </row>
    <row r="228" spans="1:17" ht="14.5" x14ac:dyDescent="0.3">
      <c r="A228" s="16">
        <v>211</v>
      </c>
      <c r="B228" s="16">
        <v>8</v>
      </c>
      <c r="C228" s="19" t="s">
        <v>377</v>
      </c>
      <c r="D228" s="20" t="s">
        <v>6</v>
      </c>
      <c r="E228" s="20">
        <v>5</v>
      </c>
      <c r="F228" s="128">
        <f>'2022.'!Q228</f>
        <v>95</v>
      </c>
      <c r="G228" s="128">
        <f>'2022.'!R228</f>
        <v>95</v>
      </c>
      <c r="H228" s="128">
        <f t="shared" si="50"/>
        <v>16.333333333333332</v>
      </c>
      <c r="I228" s="112">
        <f t="shared" si="51"/>
        <v>16.333333333333332</v>
      </c>
      <c r="J228" s="112">
        <f>ROUND('2022.'!K228*1.025,0)</f>
        <v>196</v>
      </c>
      <c r="K228" s="112">
        <f t="shared" si="54"/>
        <v>196</v>
      </c>
      <c r="L228" s="110">
        <v>96</v>
      </c>
      <c r="M228" s="112">
        <f t="shared" si="55"/>
        <v>96</v>
      </c>
      <c r="N228" s="37">
        <f>'2022.'!O228*1.025</f>
        <v>12.51525</v>
      </c>
      <c r="O228" s="21">
        <f t="shared" si="52"/>
        <v>1201.4639999999999</v>
      </c>
      <c r="P228" s="128">
        <f t="shared" si="53"/>
        <v>100</v>
      </c>
      <c r="Q228" s="128">
        <f t="shared" si="53"/>
        <v>100</v>
      </c>
    </row>
    <row r="229" spans="1:17" s="15" customFormat="1" ht="15" customHeight="1" x14ac:dyDescent="0.3">
      <c r="A229" s="254" t="s">
        <v>378</v>
      </c>
      <c r="B229" s="254"/>
      <c r="C229" s="254"/>
      <c r="D229" s="254"/>
      <c r="E229" s="254"/>
      <c r="F229" s="12">
        <f t="shared" ref="F229:Q229" si="58">SUM(F230:F233)</f>
        <v>60</v>
      </c>
      <c r="G229" s="12">
        <f t="shared" si="58"/>
        <v>84</v>
      </c>
      <c r="H229" s="12">
        <f t="shared" si="50"/>
        <v>49</v>
      </c>
      <c r="I229" s="12">
        <f t="shared" si="51"/>
        <v>62.416666666666664</v>
      </c>
      <c r="J229" s="12">
        <f>ROUND('2022.'!K229*1.025,0)</f>
        <v>588</v>
      </c>
      <c r="K229" s="12">
        <f t="shared" si="58"/>
        <v>749</v>
      </c>
      <c r="L229" s="12">
        <f t="shared" ref="L229" si="59">SUM(L230:L233)</f>
        <v>516</v>
      </c>
      <c r="M229" s="12">
        <f t="shared" si="58"/>
        <v>648</v>
      </c>
      <c r="N229" s="13" t="s">
        <v>426</v>
      </c>
      <c r="O229" s="14">
        <f t="shared" si="58"/>
        <v>316208.40000000002</v>
      </c>
      <c r="P229" s="12">
        <f t="shared" si="58"/>
        <v>73</v>
      </c>
      <c r="Q229" s="12">
        <f t="shared" si="58"/>
        <v>101</v>
      </c>
    </row>
    <row r="230" spans="1:17" ht="14.4" customHeight="1" x14ac:dyDescent="0.3">
      <c r="A230" s="16">
        <v>212</v>
      </c>
      <c r="B230" s="16">
        <v>9</v>
      </c>
      <c r="C230" s="29" t="s">
        <v>379</v>
      </c>
      <c r="D230" s="24" t="s">
        <v>10</v>
      </c>
      <c r="E230" s="24">
        <v>3</v>
      </c>
      <c r="F230" s="128">
        <f>'2022.'!Q230</f>
        <v>0</v>
      </c>
      <c r="G230" s="128">
        <f>'2022.'!R230</f>
        <v>0</v>
      </c>
      <c r="H230" s="128">
        <f t="shared" si="50"/>
        <v>15.416666666666666</v>
      </c>
      <c r="I230" s="112">
        <f t="shared" si="51"/>
        <v>15.416666666666666</v>
      </c>
      <c r="J230" s="112">
        <f>ROUND('2022.'!K230*1.025,0)</f>
        <v>185</v>
      </c>
      <c r="K230" s="112">
        <f t="shared" si="54"/>
        <v>185</v>
      </c>
      <c r="L230" s="110">
        <v>180</v>
      </c>
      <c r="M230" s="112">
        <f t="shared" si="55"/>
        <v>180</v>
      </c>
      <c r="N230" s="37">
        <f>'2022.'!O230*1.025</f>
        <v>143.5</v>
      </c>
      <c r="O230" s="21">
        <f t="shared" si="52"/>
        <v>25830</v>
      </c>
      <c r="P230" s="128">
        <f t="shared" si="53"/>
        <v>5</v>
      </c>
      <c r="Q230" s="128">
        <f t="shared" si="53"/>
        <v>5</v>
      </c>
    </row>
    <row r="231" spans="1:17" ht="30" customHeight="1" x14ac:dyDescent="0.3">
      <c r="A231" s="16">
        <v>213</v>
      </c>
      <c r="B231" s="16">
        <v>9</v>
      </c>
      <c r="C231" s="29" t="s">
        <v>380</v>
      </c>
      <c r="D231" s="24" t="s">
        <v>6</v>
      </c>
      <c r="E231" s="24">
        <v>2</v>
      </c>
      <c r="F231" s="128">
        <f>'2022.'!Q231</f>
        <v>2</v>
      </c>
      <c r="G231" s="128">
        <f>'2022.'!R231</f>
        <v>2</v>
      </c>
      <c r="H231" s="128">
        <f t="shared" si="50"/>
        <v>2.0833333333333335</v>
      </c>
      <c r="I231" s="112">
        <f t="shared" si="51"/>
        <v>2.0833333333333335</v>
      </c>
      <c r="J231" s="112">
        <f>ROUND('2022.'!K231*1.025,0)</f>
        <v>25</v>
      </c>
      <c r="K231" s="112">
        <f t="shared" si="54"/>
        <v>25</v>
      </c>
      <c r="L231" s="110">
        <v>24</v>
      </c>
      <c r="M231" s="112">
        <f t="shared" si="55"/>
        <v>24</v>
      </c>
      <c r="N231" s="37">
        <f>'2022.'!O231*1.025</f>
        <v>4407.5</v>
      </c>
      <c r="O231" s="21">
        <f t="shared" si="52"/>
        <v>105780</v>
      </c>
      <c r="P231" s="128">
        <f t="shared" si="53"/>
        <v>1</v>
      </c>
      <c r="Q231" s="128">
        <f t="shared" si="53"/>
        <v>1</v>
      </c>
    </row>
    <row r="232" spans="1:17" ht="14.5" x14ac:dyDescent="0.3">
      <c r="A232" s="16">
        <v>214</v>
      </c>
      <c r="B232" s="16">
        <v>9</v>
      </c>
      <c r="C232" s="29" t="s">
        <v>381</v>
      </c>
      <c r="D232" s="24" t="s">
        <v>10</v>
      </c>
      <c r="E232" s="24">
        <v>10</v>
      </c>
      <c r="F232" s="128">
        <f>'2022.'!Q232</f>
        <v>34</v>
      </c>
      <c r="G232" s="128">
        <f>'2022.'!R232</f>
        <v>34</v>
      </c>
      <c r="H232" s="128">
        <f t="shared" si="50"/>
        <v>18.25</v>
      </c>
      <c r="I232" s="112">
        <f t="shared" si="51"/>
        <v>18.25</v>
      </c>
      <c r="J232" s="112">
        <f>ROUND('2022.'!K232*1.025,0)</f>
        <v>219</v>
      </c>
      <c r="K232" s="112">
        <f t="shared" si="54"/>
        <v>219</v>
      </c>
      <c r="L232" s="110">
        <v>180</v>
      </c>
      <c r="M232" s="112">
        <f t="shared" si="55"/>
        <v>180</v>
      </c>
      <c r="N232" s="37">
        <f>'2022.'!O232*1.025</f>
        <v>815.07999999999993</v>
      </c>
      <c r="O232" s="21">
        <f t="shared" si="52"/>
        <v>146714.4</v>
      </c>
      <c r="P232" s="128">
        <f t="shared" si="53"/>
        <v>39</v>
      </c>
      <c r="Q232" s="128">
        <f t="shared" si="53"/>
        <v>39</v>
      </c>
    </row>
    <row r="233" spans="1:17" ht="16.25" customHeight="1" x14ac:dyDescent="0.3">
      <c r="A233" s="16">
        <v>215</v>
      </c>
      <c r="B233" s="16">
        <v>9</v>
      </c>
      <c r="C233" s="29" t="s">
        <v>383</v>
      </c>
      <c r="D233" s="24" t="s">
        <v>6</v>
      </c>
      <c r="E233" s="24">
        <v>5</v>
      </c>
      <c r="F233" s="128">
        <f>'2022.'!Q233</f>
        <v>24</v>
      </c>
      <c r="G233" s="128">
        <f>'2022.'!R233</f>
        <v>48</v>
      </c>
      <c r="H233" s="128">
        <f t="shared" si="50"/>
        <v>13.333333333333334</v>
      </c>
      <c r="I233" s="112">
        <f t="shared" si="51"/>
        <v>26.666666666666668</v>
      </c>
      <c r="J233" s="112">
        <f>ROUND('2022.'!K233*1.025,0)</f>
        <v>160</v>
      </c>
      <c r="K233" s="112">
        <f t="shared" si="54"/>
        <v>320</v>
      </c>
      <c r="L233" s="110">
        <v>132</v>
      </c>
      <c r="M233" s="112">
        <f t="shared" si="55"/>
        <v>264</v>
      </c>
      <c r="N233" s="37">
        <f>'2022.'!O233*1.025</f>
        <v>143.5</v>
      </c>
      <c r="O233" s="21">
        <f t="shared" si="52"/>
        <v>37884</v>
      </c>
      <c r="P233" s="128">
        <f t="shared" si="53"/>
        <v>28</v>
      </c>
      <c r="Q233" s="128">
        <f t="shared" si="53"/>
        <v>56</v>
      </c>
    </row>
    <row r="234" spans="1:17" s="15" customFormat="1" ht="15" customHeight="1" x14ac:dyDescent="0.3">
      <c r="A234" s="254" t="s">
        <v>384</v>
      </c>
      <c r="B234" s="254"/>
      <c r="C234" s="254"/>
      <c r="D234" s="254"/>
      <c r="E234" s="254"/>
      <c r="F234" s="12">
        <f t="shared" ref="F234:Q234" si="60">SUM(F235:F243)</f>
        <v>14</v>
      </c>
      <c r="G234" s="12">
        <f t="shared" si="60"/>
        <v>14</v>
      </c>
      <c r="H234" s="12">
        <f t="shared" si="50"/>
        <v>3.5</v>
      </c>
      <c r="I234" s="12">
        <f t="shared" si="51"/>
        <v>3.4166666666666665</v>
      </c>
      <c r="J234" s="12">
        <f>ROUND('2022.'!K234*1.025,0)</f>
        <v>42</v>
      </c>
      <c r="K234" s="12">
        <f t="shared" si="60"/>
        <v>41</v>
      </c>
      <c r="L234" s="12">
        <f t="shared" ref="L234" si="61">SUM(L235:L243)</f>
        <v>36</v>
      </c>
      <c r="M234" s="12">
        <f t="shared" si="60"/>
        <v>36</v>
      </c>
      <c r="N234" s="13" t="s">
        <v>426</v>
      </c>
      <c r="O234" s="14">
        <f t="shared" si="60"/>
        <v>29293.649249999995</v>
      </c>
      <c r="P234" s="12">
        <f t="shared" si="60"/>
        <v>5</v>
      </c>
      <c r="Q234" s="12">
        <f t="shared" si="60"/>
        <v>5</v>
      </c>
    </row>
    <row r="235" spans="1:17" ht="14.5" x14ac:dyDescent="0.3">
      <c r="A235" s="16">
        <v>216</v>
      </c>
      <c r="B235" s="16">
        <v>10</v>
      </c>
      <c r="C235" s="29" t="s">
        <v>386</v>
      </c>
      <c r="D235" s="24" t="s">
        <v>10</v>
      </c>
      <c r="E235" s="24">
        <v>3</v>
      </c>
      <c r="F235" s="128">
        <f>'2022.'!Q235</f>
        <v>1</v>
      </c>
      <c r="G235" s="128">
        <f>'2022.'!R235</f>
        <v>1</v>
      </c>
      <c r="H235" s="127">
        <f t="shared" si="50"/>
        <v>0.41666666666666669</v>
      </c>
      <c r="I235" s="109">
        <f t="shared" si="51"/>
        <v>0.41666666666666669</v>
      </c>
      <c r="J235" s="112">
        <f>ROUND('2022.'!K235*1.025,0)</f>
        <v>5</v>
      </c>
      <c r="K235" s="112">
        <f t="shared" si="54"/>
        <v>5</v>
      </c>
      <c r="L235" s="110">
        <v>3</v>
      </c>
      <c r="M235" s="112">
        <f t="shared" si="55"/>
        <v>3</v>
      </c>
      <c r="N235" s="37">
        <f>'2022.'!O235*1.025</f>
        <v>269.77999999999997</v>
      </c>
      <c r="O235" s="21">
        <f t="shared" si="52"/>
        <v>809.33999999999992</v>
      </c>
      <c r="P235" s="128">
        <f t="shared" si="53"/>
        <v>2</v>
      </c>
      <c r="Q235" s="128">
        <f t="shared" si="53"/>
        <v>2</v>
      </c>
    </row>
    <row r="236" spans="1:17" ht="14.5" x14ac:dyDescent="0.3">
      <c r="A236" s="16">
        <v>217</v>
      </c>
      <c r="B236" s="16">
        <v>10</v>
      </c>
      <c r="C236" s="29" t="s">
        <v>388</v>
      </c>
      <c r="D236" s="24" t="s">
        <v>6</v>
      </c>
      <c r="E236" s="24">
        <v>3</v>
      </c>
      <c r="F236" s="128">
        <f>'2022.'!Q236</f>
        <v>1</v>
      </c>
      <c r="G236" s="128">
        <f>'2022.'!R236</f>
        <v>1</v>
      </c>
      <c r="H236" s="128">
        <f t="shared" si="50"/>
        <v>0.58333333333333337</v>
      </c>
      <c r="I236" s="112">
        <f t="shared" si="51"/>
        <v>0.58333333333333337</v>
      </c>
      <c r="J236" s="112">
        <f>ROUND('2022.'!K236*1.025,0)</f>
        <v>7</v>
      </c>
      <c r="K236" s="112">
        <f t="shared" si="54"/>
        <v>7</v>
      </c>
      <c r="L236" s="110">
        <v>6</v>
      </c>
      <c r="M236" s="112">
        <f t="shared" si="55"/>
        <v>6</v>
      </c>
      <c r="N236" s="37">
        <f>'2022.'!O236*1.025</f>
        <v>448.29399999999998</v>
      </c>
      <c r="O236" s="21">
        <f t="shared" si="52"/>
        <v>2689.7640000000001</v>
      </c>
      <c r="P236" s="128">
        <f t="shared" si="53"/>
        <v>1</v>
      </c>
      <c r="Q236" s="128">
        <f t="shared" si="53"/>
        <v>1</v>
      </c>
    </row>
    <row r="237" spans="1:17" ht="14.5" x14ac:dyDescent="0.3">
      <c r="A237" s="16">
        <v>218</v>
      </c>
      <c r="B237" s="16">
        <v>10</v>
      </c>
      <c r="C237" s="29" t="s">
        <v>390</v>
      </c>
      <c r="D237" s="24" t="s">
        <v>10</v>
      </c>
      <c r="E237" s="24">
        <v>3</v>
      </c>
      <c r="F237" s="128">
        <f>'2022.'!Q237</f>
        <v>2</v>
      </c>
      <c r="G237" s="128">
        <f>'2022.'!R237</f>
        <v>2</v>
      </c>
      <c r="H237" s="128">
        <f t="shared" si="50"/>
        <v>0.91666666666666663</v>
      </c>
      <c r="I237" s="112">
        <f t="shared" si="51"/>
        <v>0.91666666666666663</v>
      </c>
      <c r="J237" s="112">
        <f>ROUND('2022.'!K237*1.025,0)</f>
        <v>11</v>
      </c>
      <c r="K237" s="112">
        <f t="shared" si="54"/>
        <v>11</v>
      </c>
      <c r="L237" s="110">
        <v>9</v>
      </c>
      <c r="M237" s="112">
        <f t="shared" si="55"/>
        <v>9</v>
      </c>
      <c r="N237" s="37">
        <f>'2022.'!O237*1.025</f>
        <v>312.58399999999995</v>
      </c>
      <c r="O237" s="21">
        <f t="shared" si="52"/>
        <v>2813.2559999999994</v>
      </c>
      <c r="P237" s="128">
        <f t="shared" si="53"/>
        <v>2</v>
      </c>
      <c r="Q237" s="128">
        <f t="shared" si="53"/>
        <v>2</v>
      </c>
    </row>
    <row r="238" spans="1:17" ht="14.5" x14ac:dyDescent="0.3">
      <c r="A238" s="16">
        <v>219</v>
      </c>
      <c r="B238" s="16">
        <v>10</v>
      </c>
      <c r="C238" s="29" t="s">
        <v>392</v>
      </c>
      <c r="D238" s="24" t="s">
        <v>6</v>
      </c>
      <c r="E238" s="24">
        <v>3</v>
      </c>
      <c r="F238" s="128">
        <f>'2022.'!Q238</f>
        <v>2</v>
      </c>
      <c r="G238" s="128">
        <f>'2022.'!R238</f>
        <v>2</v>
      </c>
      <c r="H238" s="127">
        <f t="shared" si="50"/>
        <v>0.25</v>
      </c>
      <c r="I238" s="109">
        <f t="shared" si="51"/>
        <v>0.25</v>
      </c>
      <c r="J238" s="112">
        <f>ROUND('2022.'!K238*1.025,0)</f>
        <v>3</v>
      </c>
      <c r="K238" s="112">
        <f t="shared" si="54"/>
        <v>3</v>
      </c>
      <c r="L238" s="110">
        <v>3</v>
      </c>
      <c r="M238" s="112">
        <f t="shared" si="55"/>
        <v>3</v>
      </c>
      <c r="N238" s="37">
        <f>'2022.'!O238*1.025</f>
        <v>1362.6759999999999</v>
      </c>
      <c r="O238" s="21">
        <f t="shared" si="52"/>
        <v>4088.0279999999998</v>
      </c>
      <c r="P238" s="128">
        <f t="shared" si="53"/>
        <v>0</v>
      </c>
      <c r="Q238" s="128">
        <f t="shared" si="53"/>
        <v>0</v>
      </c>
    </row>
    <row r="239" spans="1:17" ht="14.5" x14ac:dyDescent="0.3">
      <c r="A239" s="16">
        <v>220</v>
      </c>
      <c r="B239" s="16">
        <v>10</v>
      </c>
      <c r="C239" s="29" t="s">
        <v>394</v>
      </c>
      <c r="D239" s="24" t="s">
        <v>10</v>
      </c>
      <c r="E239" s="24">
        <v>3</v>
      </c>
      <c r="F239" s="128">
        <f>'2022.'!Q239</f>
        <v>2</v>
      </c>
      <c r="G239" s="128">
        <f>'2022.'!R239</f>
        <v>2</v>
      </c>
      <c r="H239" s="127">
        <f t="shared" si="50"/>
        <v>0.25</v>
      </c>
      <c r="I239" s="109">
        <f t="shared" si="51"/>
        <v>0.25</v>
      </c>
      <c r="J239" s="112">
        <f>ROUND('2022.'!K239*1.025,0)</f>
        <v>3</v>
      </c>
      <c r="K239" s="112">
        <f t="shared" si="54"/>
        <v>3</v>
      </c>
      <c r="L239" s="110">
        <v>3</v>
      </c>
      <c r="M239" s="112">
        <f t="shared" si="55"/>
        <v>3</v>
      </c>
      <c r="N239" s="37">
        <f>'2022.'!O239*1.025</f>
        <v>3083.5279999999998</v>
      </c>
      <c r="O239" s="21">
        <f t="shared" si="52"/>
        <v>9250.5839999999989</v>
      </c>
      <c r="P239" s="128">
        <f t="shared" si="53"/>
        <v>0</v>
      </c>
      <c r="Q239" s="128">
        <f t="shared" si="53"/>
        <v>0</v>
      </c>
    </row>
    <row r="240" spans="1:17" ht="14.5" x14ac:dyDescent="0.3">
      <c r="A240" s="16">
        <v>221</v>
      </c>
      <c r="B240" s="16">
        <v>10</v>
      </c>
      <c r="C240" s="29" t="s">
        <v>396</v>
      </c>
      <c r="D240" s="24" t="s">
        <v>6</v>
      </c>
      <c r="E240" s="24">
        <v>3</v>
      </c>
      <c r="F240" s="128">
        <f>'2022.'!Q240</f>
        <v>0</v>
      </c>
      <c r="G240" s="128">
        <f>'2022.'!R240</f>
        <v>0</v>
      </c>
      <c r="H240" s="127">
        <f t="shared" si="50"/>
        <v>0.25</v>
      </c>
      <c r="I240" s="109">
        <f t="shared" si="51"/>
        <v>0.25</v>
      </c>
      <c r="J240" s="112">
        <f>ROUND('2022.'!K240*1.025,0)</f>
        <v>3</v>
      </c>
      <c r="K240" s="112">
        <f t="shared" si="54"/>
        <v>3</v>
      </c>
      <c r="L240" s="110">
        <v>3</v>
      </c>
      <c r="M240" s="112">
        <f t="shared" si="55"/>
        <v>3</v>
      </c>
      <c r="N240" s="37">
        <f>'2022.'!O240*1.025</f>
        <v>812.60974999999985</v>
      </c>
      <c r="O240" s="21">
        <f t="shared" si="52"/>
        <v>2437.8292499999998</v>
      </c>
      <c r="P240" s="128">
        <f t="shared" si="53"/>
        <v>0</v>
      </c>
      <c r="Q240" s="128">
        <f t="shared" si="53"/>
        <v>0</v>
      </c>
    </row>
    <row r="241" spans="1:17" ht="26" x14ac:dyDescent="0.3">
      <c r="A241" s="16">
        <v>222</v>
      </c>
      <c r="B241" s="16">
        <v>10</v>
      </c>
      <c r="C241" s="29" t="s">
        <v>406</v>
      </c>
      <c r="D241" s="24" t="s">
        <v>10</v>
      </c>
      <c r="E241" s="24">
        <v>3</v>
      </c>
      <c r="F241" s="128">
        <f>'2022.'!Q241</f>
        <v>2</v>
      </c>
      <c r="G241" s="128">
        <f>'2022.'!R241</f>
        <v>2</v>
      </c>
      <c r="H241" s="127">
        <f t="shared" si="50"/>
        <v>0.25</v>
      </c>
      <c r="I241" s="109">
        <f t="shared" si="51"/>
        <v>0.25</v>
      </c>
      <c r="J241" s="112">
        <f>ROUND('2022.'!K241*1.025,0)</f>
        <v>3</v>
      </c>
      <c r="K241" s="112">
        <f t="shared" si="54"/>
        <v>3</v>
      </c>
      <c r="L241" s="110">
        <v>3</v>
      </c>
      <c r="M241" s="112">
        <f t="shared" si="55"/>
        <v>3</v>
      </c>
      <c r="N241" s="37">
        <f>'2022.'!O241*1.025</f>
        <v>1538.3199999999997</v>
      </c>
      <c r="O241" s="21">
        <f t="shared" si="52"/>
        <v>4614.9599999999991</v>
      </c>
      <c r="P241" s="128">
        <f t="shared" si="53"/>
        <v>0</v>
      </c>
      <c r="Q241" s="128">
        <f t="shared" si="53"/>
        <v>0</v>
      </c>
    </row>
    <row r="242" spans="1:17" ht="14.5" x14ac:dyDescent="0.3">
      <c r="A242" s="16">
        <v>223</v>
      </c>
      <c r="B242" s="16">
        <v>10</v>
      </c>
      <c r="C242" s="29" t="s">
        <v>407</v>
      </c>
      <c r="D242" s="24" t="s">
        <v>6</v>
      </c>
      <c r="E242" s="24">
        <v>3</v>
      </c>
      <c r="F242" s="128">
        <f>'2022.'!Q242</f>
        <v>2</v>
      </c>
      <c r="G242" s="128">
        <f>'2022.'!R242</f>
        <v>2</v>
      </c>
      <c r="H242" s="127">
        <f t="shared" si="50"/>
        <v>0.25</v>
      </c>
      <c r="I242" s="109">
        <f t="shared" si="51"/>
        <v>0.25</v>
      </c>
      <c r="J242" s="112">
        <f>ROUND('2022.'!K242*1.025,0)</f>
        <v>3</v>
      </c>
      <c r="K242" s="112">
        <f t="shared" si="54"/>
        <v>3</v>
      </c>
      <c r="L242" s="110">
        <v>3</v>
      </c>
      <c r="M242" s="112">
        <f t="shared" si="55"/>
        <v>3</v>
      </c>
      <c r="N242" s="37">
        <f>'2022.'!O242*1.025</f>
        <v>792.11999999999989</v>
      </c>
      <c r="O242" s="21">
        <f t="shared" si="52"/>
        <v>2376.3599999999997</v>
      </c>
      <c r="P242" s="128">
        <f t="shared" si="53"/>
        <v>0</v>
      </c>
      <c r="Q242" s="128">
        <f t="shared" si="53"/>
        <v>0</v>
      </c>
    </row>
    <row r="243" spans="1:17" ht="14.5" x14ac:dyDescent="0.3">
      <c r="A243" s="16">
        <v>224</v>
      </c>
      <c r="B243" s="16">
        <v>10</v>
      </c>
      <c r="C243" s="29" t="s">
        <v>398</v>
      </c>
      <c r="D243" s="24" t="s">
        <v>6</v>
      </c>
      <c r="E243" s="24">
        <v>3</v>
      </c>
      <c r="F243" s="128">
        <f>'2022.'!Q243</f>
        <v>2</v>
      </c>
      <c r="G243" s="128">
        <f>'2022.'!R243</f>
        <v>2</v>
      </c>
      <c r="H243" s="127">
        <f t="shared" si="50"/>
        <v>0.25</v>
      </c>
      <c r="I243" s="109">
        <f t="shared" si="51"/>
        <v>0.25</v>
      </c>
      <c r="J243" s="112">
        <f>ROUND('2022.'!K243*1.025,0)</f>
        <v>3</v>
      </c>
      <c r="K243" s="112">
        <f t="shared" si="54"/>
        <v>3</v>
      </c>
      <c r="L243" s="110">
        <v>3</v>
      </c>
      <c r="M243" s="112">
        <f t="shared" si="55"/>
        <v>3</v>
      </c>
      <c r="N243" s="37">
        <f>'2022.'!O243*1.025</f>
        <v>71.175999999999988</v>
      </c>
      <c r="O243" s="21">
        <f t="shared" si="52"/>
        <v>213.52799999999996</v>
      </c>
      <c r="P243" s="128">
        <f t="shared" si="53"/>
        <v>0</v>
      </c>
      <c r="Q243" s="128">
        <f t="shared" si="53"/>
        <v>0</v>
      </c>
    </row>
    <row r="244" spans="1:17" s="15" customFormat="1" ht="15" customHeight="1" x14ac:dyDescent="0.3">
      <c r="A244" s="254" t="s">
        <v>399</v>
      </c>
      <c r="B244" s="254"/>
      <c r="C244" s="254"/>
      <c r="D244" s="254"/>
      <c r="E244" s="254"/>
      <c r="F244" s="12">
        <f t="shared" ref="F244:M244" si="62">SUM(F245)</f>
        <v>20</v>
      </c>
      <c r="G244" s="12">
        <f t="shared" si="62"/>
        <v>20</v>
      </c>
      <c r="H244" s="12">
        <f t="shared" si="50"/>
        <v>9.9166666666666661</v>
      </c>
      <c r="I244" s="12">
        <f t="shared" si="51"/>
        <v>9.9166666666666661</v>
      </c>
      <c r="J244" s="12">
        <f>ROUND('2022.'!K244*1.025,0)</f>
        <v>119</v>
      </c>
      <c r="K244" s="12">
        <f t="shared" si="62"/>
        <v>119</v>
      </c>
      <c r="L244" s="12">
        <f t="shared" ref="L244" si="63">SUM(L245)</f>
        <v>96</v>
      </c>
      <c r="M244" s="12">
        <f t="shared" si="62"/>
        <v>96</v>
      </c>
      <c r="N244" s="13" t="s">
        <v>426</v>
      </c>
      <c r="O244" s="14">
        <f>SUM(O245:O245)</f>
        <v>541.19999999999993</v>
      </c>
      <c r="P244" s="12">
        <f>SUM(P245)</f>
        <v>23</v>
      </c>
      <c r="Q244" s="12">
        <f t="shared" ref="Q244" si="64">SUM(Q245)</f>
        <v>23</v>
      </c>
    </row>
    <row r="245" spans="1:17" ht="14.5" x14ac:dyDescent="0.3">
      <c r="A245" s="16">
        <v>225</v>
      </c>
      <c r="B245" s="16">
        <v>11</v>
      </c>
      <c r="C245" s="19" t="s">
        <v>401</v>
      </c>
      <c r="D245" s="20" t="s">
        <v>6</v>
      </c>
      <c r="E245" s="20">
        <v>2</v>
      </c>
      <c r="F245" s="128">
        <f>'2022.'!Q245</f>
        <v>20</v>
      </c>
      <c r="G245" s="128">
        <f>'2022.'!R245</f>
        <v>20</v>
      </c>
      <c r="H245" s="128">
        <f t="shared" si="50"/>
        <v>9.9166666666666661</v>
      </c>
      <c r="I245" s="112">
        <f t="shared" si="51"/>
        <v>9.9166666666666661</v>
      </c>
      <c r="J245" s="112">
        <f>ROUND('2022.'!K245*1.025,0)</f>
        <v>119</v>
      </c>
      <c r="K245" s="112">
        <f t="shared" si="54"/>
        <v>119</v>
      </c>
      <c r="L245" s="110">
        <v>96</v>
      </c>
      <c r="M245" s="112">
        <f t="shared" si="55"/>
        <v>96</v>
      </c>
      <c r="N245" s="37">
        <f>'2022.'!O245*1.025</f>
        <v>5.6374999999999993</v>
      </c>
      <c r="O245" s="21">
        <f t="shared" si="52"/>
        <v>541.19999999999993</v>
      </c>
      <c r="P245" s="128">
        <f t="shared" si="53"/>
        <v>23</v>
      </c>
      <c r="Q245" s="128">
        <f t="shared" si="53"/>
        <v>23</v>
      </c>
    </row>
    <row r="246" spans="1:17" x14ac:dyDescent="0.3">
      <c r="F246" s="69"/>
      <c r="G246" s="69"/>
      <c r="H246" s="69"/>
      <c r="I246" s="69"/>
      <c r="J246" s="69"/>
      <c r="K246" s="69"/>
      <c r="L246" s="69"/>
      <c r="M246" s="69"/>
      <c r="N246" s="39"/>
      <c r="O246" s="70"/>
      <c r="P246" s="69"/>
      <c r="Q246" s="69"/>
    </row>
    <row r="247" spans="1:17" s="15" customFormat="1" ht="15" customHeight="1" x14ac:dyDescent="0.3">
      <c r="A247" s="254" t="s">
        <v>433</v>
      </c>
      <c r="B247" s="254"/>
      <c r="C247" s="254"/>
      <c r="D247" s="254"/>
      <c r="E247" s="254"/>
      <c r="F247" s="12">
        <f>F7+F14+F16+F132+F158+F166+F181+F226+F229+F234+F244</f>
        <v>2255</v>
      </c>
      <c r="G247" s="12">
        <f t="shared" ref="G247:Q247" si="65">G7+G14+G16+G132+G158+G166+G181+G226+G229+G234+G244</f>
        <v>2648</v>
      </c>
      <c r="H247" s="12">
        <f t="shared" si="65"/>
        <v>1560.25</v>
      </c>
      <c r="I247" s="12">
        <f t="shared" si="65"/>
        <v>1971.8333333333337</v>
      </c>
      <c r="J247" s="12">
        <f t="shared" si="65"/>
        <v>18723</v>
      </c>
      <c r="K247" s="12">
        <f t="shared" si="65"/>
        <v>23662</v>
      </c>
      <c r="L247" s="12">
        <f t="shared" si="65"/>
        <v>16459</v>
      </c>
      <c r="M247" s="12">
        <f>M7+M14+M16+M132+M158+M166+M181+M226+M229+M234+M244</f>
        <v>20958</v>
      </c>
      <c r="N247" s="13" t="s">
        <v>426</v>
      </c>
      <c r="O247" s="14">
        <f t="shared" si="65"/>
        <v>8148432.8883187501</v>
      </c>
      <c r="P247" s="12">
        <f t="shared" si="65"/>
        <v>2255</v>
      </c>
      <c r="Q247" s="12">
        <f t="shared" si="65"/>
        <v>2704</v>
      </c>
    </row>
    <row r="248" spans="1:17" x14ac:dyDescent="0.3">
      <c r="F248" s="49"/>
      <c r="G248" s="49"/>
      <c r="H248" s="49"/>
      <c r="I248" s="49"/>
      <c r="J248" s="49"/>
      <c r="K248" s="49"/>
      <c r="L248" s="49"/>
      <c r="M248" s="49"/>
      <c r="P248" s="49"/>
      <c r="Q248" s="49"/>
    </row>
    <row r="249" spans="1:17" x14ac:dyDescent="0.3">
      <c r="P249" s="49"/>
      <c r="Q249" s="49"/>
    </row>
    <row r="250" spans="1:17" x14ac:dyDescent="0.3">
      <c r="A250" s="194" t="s">
        <v>535</v>
      </c>
    </row>
    <row r="251" spans="1:17" x14ac:dyDescent="0.3">
      <c r="A251" s="195" t="s">
        <v>536</v>
      </c>
    </row>
    <row r="252" spans="1:17" x14ac:dyDescent="0.3">
      <c r="A252" s="195" t="s">
        <v>537</v>
      </c>
    </row>
    <row r="253" spans="1:17" x14ac:dyDescent="0.3">
      <c r="A253" s="195" t="s">
        <v>538</v>
      </c>
    </row>
    <row r="254" spans="1:17" ht="14.5" x14ac:dyDescent="0.3">
      <c r="A254" s="196" t="s">
        <v>539</v>
      </c>
    </row>
  </sheetData>
  <autoFilter ref="A6:Q245" xr:uid="{2A493362-FB5C-41BE-83B4-B1E320E2E541}"/>
  <mergeCells count="29">
    <mergeCell ref="A247:E247"/>
    <mergeCell ref="A1:Q1"/>
    <mergeCell ref="A2:Q2"/>
    <mergeCell ref="A3:Q3"/>
    <mergeCell ref="A166:E166"/>
    <mergeCell ref="A181:E181"/>
    <mergeCell ref="A226:E226"/>
    <mergeCell ref="A229:E229"/>
    <mergeCell ref="A234:E234"/>
    <mergeCell ref="A244:E244"/>
    <mergeCell ref="A16:E16"/>
    <mergeCell ref="A17:E17"/>
    <mergeCell ref="A88:E88"/>
    <mergeCell ref="A114:E114"/>
    <mergeCell ref="A132:E132"/>
    <mergeCell ref="A158:E158"/>
    <mergeCell ref="L4:M4"/>
    <mergeCell ref="N4:N5"/>
    <mergeCell ref="O4:O5"/>
    <mergeCell ref="P4:Q4"/>
    <mergeCell ref="A7:E7"/>
    <mergeCell ref="F4:G4"/>
    <mergeCell ref="H4:I4"/>
    <mergeCell ref="J4:K4"/>
    <mergeCell ref="A14:E14"/>
    <mergeCell ref="A4:B5"/>
    <mergeCell ref="C4:C5"/>
    <mergeCell ref="D4:D5"/>
    <mergeCell ref="E4:E5"/>
  </mergeCells>
  <hyperlinks>
    <hyperlink ref="C230" r:id="rId1" display="http://www.eastin.eu/lv-lv/searches/Products/List?iso=180315" xr:uid="{FDB949B5-D9CE-4076-B760-C2527C3F1997}"/>
    <hyperlink ref="A254" r:id="rId2" display="mailto:Sandra.Strele@lm.gov.lv" xr:uid="{7748C8B1-2CE2-4CAF-ADEA-9E0538F03864}"/>
  </hyperlinks>
  <pageMargins left="0.70866141732283472" right="0.51181102362204722" top="0.74803149606299213" bottom="0.74803149606299213" header="0.31496062992125984" footer="0.31496062992125984"/>
  <pageSetup scale="58" orientation="landscape" r:id="rId3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7E756-BDF7-4A0F-9FC3-B6E3B71C2A8B}">
  <dimension ref="A1:Q254"/>
  <sheetViews>
    <sheetView zoomScale="80" zoomScaleNormal="80" workbookViewId="0">
      <pane xSplit="5" ySplit="6" topLeftCell="F232" activePane="bottomRight" state="frozen"/>
      <selection pane="topRight" activeCell="I1" sqref="I1"/>
      <selection pane="bottomLeft" activeCell="A6" sqref="A6"/>
      <selection pane="bottomRight" activeCell="T11" sqref="T11"/>
    </sheetView>
  </sheetViews>
  <sheetFormatPr defaultColWidth="8.90625" defaultRowHeight="13" x14ac:dyDescent="0.3"/>
  <cols>
    <col min="1" max="1" width="8.90625" style="30"/>
    <col min="2" max="2" width="6" style="30" customWidth="1"/>
    <col min="3" max="3" width="49.1796875" style="32" customWidth="1"/>
    <col min="4" max="4" width="10.90625" style="33" customWidth="1"/>
    <col min="5" max="5" width="9.36328125" style="34" customWidth="1"/>
    <col min="6" max="14" width="10.54296875" style="2" customWidth="1"/>
    <col min="15" max="15" width="15.1796875" style="2" customWidth="1"/>
    <col min="16" max="17" width="10.08984375" style="2" customWidth="1"/>
    <col min="18" max="16384" width="8.90625" style="2"/>
  </cols>
  <sheetData>
    <row r="1" spans="1:17" x14ac:dyDescent="0.3">
      <c r="A1" s="235" t="s">
        <v>529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x14ac:dyDescent="0.3">
      <c r="A2" s="235" t="s">
        <v>463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ht="15.5" x14ac:dyDescent="0.3">
      <c r="A3" s="236" t="s">
        <v>466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ht="31.75" customHeight="1" x14ac:dyDescent="0.3">
      <c r="A4" s="256" t="s">
        <v>0</v>
      </c>
      <c r="B4" s="256"/>
      <c r="C4" s="255" t="s">
        <v>1</v>
      </c>
      <c r="D4" s="255" t="s">
        <v>2</v>
      </c>
      <c r="E4" s="255" t="s">
        <v>3</v>
      </c>
      <c r="F4" s="253" t="s">
        <v>431</v>
      </c>
      <c r="G4" s="253"/>
      <c r="H4" s="253" t="s">
        <v>434</v>
      </c>
      <c r="I4" s="253"/>
      <c r="J4" s="253" t="s">
        <v>435</v>
      </c>
      <c r="K4" s="253"/>
      <c r="L4" s="253" t="s">
        <v>418</v>
      </c>
      <c r="M4" s="253"/>
      <c r="N4" s="259" t="s">
        <v>425</v>
      </c>
      <c r="O4" s="253" t="s">
        <v>430</v>
      </c>
      <c r="P4" s="253" t="s">
        <v>436</v>
      </c>
      <c r="Q4" s="253"/>
    </row>
    <row r="5" spans="1:17" ht="120" customHeight="1" x14ac:dyDescent="0.3">
      <c r="A5" s="256"/>
      <c r="B5" s="256"/>
      <c r="C5" s="255"/>
      <c r="D5" s="255"/>
      <c r="E5" s="255"/>
      <c r="F5" s="36" t="s">
        <v>474</v>
      </c>
      <c r="G5" s="36" t="s">
        <v>478</v>
      </c>
      <c r="H5" s="36" t="s">
        <v>475</v>
      </c>
      <c r="I5" s="5" t="s">
        <v>476</v>
      </c>
      <c r="J5" s="6" t="s">
        <v>421</v>
      </c>
      <c r="K5" s="6" t="s">
        <v>422</v>
      </c>
      <c r="L5" s="7" t="s">
        <v>423</v>
      </c>
      <c r="M5" s="6" t="s">
        <v>424</v>
      </c>
      <c r="N5" s="259"/>
      <c r="O5" s="253"/>
      <c r="P5" s="5" t="s">
        <v>474</v>
      </c>
      <c r="Q5" s="5" t="s">
        <v>477</v>
      </c>
    </row>
    <row r="6" spans="1:17" s="11" customFormat="1" ht="10.5" x14ac:dyDescent="0.25">
      <c r="A6" s="8">
        <v>1</v>
      </c>
      <c r="B6" s="8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</row>
    <row r="7" spans="1:17" s="15" customFormat="1" ht="15" customHeight="1" x14ac:dyDescent="0.3">
      <c r="A7" s="254" t="s">
        <v>402</v>
      </c>
      <c r="B7" s="254"/>
      <c r="C7" s="254"/>
      <c r="D7" s="254"/>
      <c r="E7" s="254"/>
      <c r="F7" s="12">
        <f>'2023.'!P7</f>
        <v>149</v>
      </c>
      <c r="G7" s="12">
        <f>'2023.'!Q7</f>
        <v>149</v>
      </c>
      <c r="H7" s="12">
        <f>J7/12</f>
        <v>246.66666666666666</v>
      </c>
      <c r="I7" s="12">
        <f>K7/12</f>
        <v>246.66666666666666</v>
      </c>
      <c r="J7" s="12">
        <f t="shared" ref="J7:K7" si="0">SUM(J8:J13)</f>
        <v>2960</v>
      </c>
      <c r="K7" s="12">
        <f t="shared" si="0"/>
        <v>2960</v>
      </c>
      <c r="L7" s="12">
        <f t="shared" ref="L7" si="1">SUM(L8:L13)</f>
        <v>2738</v>
      </c>
      <c r="M7" s="12">
        <f t="shared" ref="M7" si="2">SUM(M8:M13)</f>
        <v>2738</v>
      </c>
      <c r="N7" s="13" t="s">
        <v>426</v>
      </c>
      <c r="O7" s="14">
        <f>SUM(O8:O13)</f>
        <v>1264488.5019749997</v>
      </c>
      <c r="P7" s="12">
        <f t="shared" ref="P7:Q7" si="3">SUM(P8:P13)</f>
        <v>222</v>
      </c>
      <c r="Q7" s="12">
        <f t="shared" si="3"/>
        <v>222</v>
      </c>
    </row>
    <row r="8" spans="1:17" ht="25.75" customHeight="1" x14ac:dyDescent="0.3">
      <c r="A8" s="16">
        <v>1</v>
      </c>
      <c r="B8" s="17">
        <v>1</v>
      </c>
      <c r="C8" s="19" t="s">
        <v>5</v>
      </c>
      <c r="D8" s="20" t="s">
        <v>6</v>
      </c>
      <c r="E8" s="20">
        <v>8</v>
      </c>
      <c r="F8" s="128">
        <f>'2023.'!P8</f>
        <v>1</v>
      </c>
      <c r="G8" s="128">
        <f>'2023.'!Q8</f>
        <v>1</v>
      </c>
      <c r="H8" s="128">
        <f t="shared" ref="H8:H71" si="4">J8/12</f>
        <v>0.58333333333333337</v>
      </c>
      <c r="I8" s="128">
        <f t="shared" ref="I8:I71" si="5">K8/12</f>
        <v>0.58333333333333337</v>
      </c>
      <c r="J8" s="112">
        <f>ROUND('2023.'!J8*1.025,0)</f>
        <v>7</v>
      </c>
      <c r="K8" s="112">
        <f>ROUND(IF(F8=0,J8,J8*(G8/F8)),0)</f>
        <v>7</v>
      </c>
      <c r="L8" s="110">
        <v>6</v>
      </c>
      <c r="M8" s="112">
        <f>ROUND(IF(F8=0,L8,L8*(G8/F8)),0)</f>
        <v>6</v>
      </c>
      <c r="N8" s="37">
        <f>'2023.'!N8*1.025</f>
        <v>663.65879999999981</v>
      </c>
      <c r="O8" s="21">
        <f t="shared" ref="O8:O71" si="6">N8*M8</f>
        <v>3981.9527999999991</v>
      </c>
      <c r="P8" s="128">
        <f t="shared" ref="P8:Q71" si="7">J8-L8</f>
        <v>1</v>
      </c>
      <c r="Q8" s="128">
        <f t="shared" si="7"/>
        <v>1</v>
      </c>
    </row>
    <row r="9" spans="1:17" ht="25.75" customHeight="1" x14ac:dyDescent="0.3">
      <c r="A9" s="16">
        <v>2</v>
      </c>
      <c r="B9" s="17">
        <v>1</v>
      </c>
      <c r="C9" s="19" t="s">
        <v>8</v>
      </c>
      <c r="D9" s="20" t="s">
        <v>6</v>
      </c>
      <c r="E9" s="20">
        <v>8</v>
      </c>
      <c r="F9" s="128">
        <f>'2023.'!P9</f>
        <v>13</v>
      </c>
      <c r="G9" s="128">
        <f>'2023.'!Q9</f>
        <v>13</v>
      </c>
      <c r="H9" s="128">
        <f t="shared" si="4"/>
        <v>26.75</v>
      </c>
      <c r="I9" s="128">
        <f t="shared" si="5"/>
        <v>26.75</v>
      </c>
      <c r="J9" s="112">
        <f>ROUND('2023.'!J9*1.025,0)</f>
        <v>321</v>
      </c>
      <c r="K9" s="112">
        <f t="shared" ref="K9:K13" si="8">ROUND(IF(F9=0,J9,J9*(G9/F9)),0)</f>
        <v>321</v>
      </c>
      <c r="L9" s="114">
        <v>300</v>
      </c>
      <c r="M9" s="112">
        <f t="shared" ref="M9:M15" si="9">ROUND(IF(F9=0,L9,L9*(G9/F9)),0)</f>
        <v>300</v>
      </c>
      <c r="N9" s="37">
        <f>'2023.'!N9*1.025</f>
        <v>854.0320499999998</v>
      </c>
      <c r="O9" s="21">
        <f t="shared" si="6"/>
        <v>256209.61499999993</v>
      </c>
      <c r="P9" s="128">
        <f t="shared" si="7"/>
        <v>21</v>
      </c>
      <c r="Q9" s="128">
        <f t="shared" si="7"/>
        <v>21</v>
      </c>
    </row>
    <row r="10" spans="1:17" ht="25.75" customHeight="1" x14ac:dyDescent="0.3">
      <c r="A10" s="16">
        <v>3</v>
      </c>
      <c r="B10" s="17">
        <v>1</v>
      </c>
      <c r="C10" s="23" t="s">
        <v>9</v>
      </c>
      <c r="D10" s="24" t="s">
        <v>10</v>
      </c>
      <c r="E10" s="24">
        <v>8</v>
      </c>
      <c r="F10" s="128">
        <f>'2023.'!P10</f>
        <v>25</v>
      </c>
      <c r="G10" s="128">
        <f>'2023.'!Q10</f>
        <v>25</v>
      </c>
      <c r="H10" s="128">
        <f t="shared" si="4"/>
        <v>87.583333333333329</v>
      </c>
      <c r="I10" s="128">
        <f t="shared" si="5"/>
        <v>87.583333333333329</v>
      </c>
      <c r="J10" s="112">
        <f>ROUND('2023.'!J10*1.025,0)</f>
        <v>1051</v>
      </c>
      <c r="K10" s="112">
        <f t="shared" si="8"/>
        <v>1051</v>
      </c>
      <c r="L10" s="110">
        <v>1000</v>
      </c>
      <c r="M10" s="112">
        <f t="shared" si="9"/>
        <v>1000</v>
      </c>
      <c r="N10" s="37">
        <f>'2023.'!N10*1.025</f>
        <v>881.61620937499981</v>
      </c>
      <c r="O10" s="21">
        <f t="shared" si="6"/>
        <v>881616.20937499986</v>
      </c>
      <c r="P10" s="128">
        <f t="shared" si="7"/>
        <v>51</v>
      </c>
      <c r="Q10" s="128">
        <f t="shared" si="7"/>
        <v>51</v>
      </c>
    </row>
    <row r="11" spans="1:17" ht="15" customHeight="1" x14ac:dyDescent="0.3">
      <c r="A11" s="16">
        <v>4</v>
      </c>
      <c r="B11" s="17">
        <v>1</v>
      </c>
      <c r="C11" s="22" t="s">
        <v>11</v>
      </c>
      <c r="D11" s="24" t="s">
        <v>10</v>
      </c>
      <c r="E11" s="24">
        <v>5</v>
      </c>
      <c r="F11" s="128">
        <f>'2023.'!P11</f>
        <v>25</v>
      </c>
      <c r="G11" s="128">
        <f>'2023.'!Q11</f>
        <v>25</v>
      </c>
      <c r="H11" s="128">
        <f t="shared" si="4"/>
        <v>87.583333333333329</v>
      </c>
      <c r="I11" s="128">
        <f t="shared" si="5"/>
        <v>87.583333333333329</v>
      </c>
      <c r="J11" s="112">
        <f>ROUND('2023.'!J11*1.025,0)</f>
        <v>1051</v>
      </c>
      <c r="K11" s="112">
        <f t="shared" si="8"/>
        <v>1051</v>
      </c>
      <c r="L11" s="122">
        <f>L10</f>
        <v>1000</v>
      </c>
      <c r="M11" s="112">
        <f>ROUND(IF(F11=0,L11,L11*(G11/F11)),0)</f>
        <v>1000</v>
      </c>
      <c r="N11" s="37">
        <f>'2023.'!N11*1.025</f>
        <v>42.024999999999999</v>
      </c>
      <c r="O11" s="21">
        <f t="shared" si="6"/>
        <v>42025</v>
      </c>
      <c r="P11" s="128">
        <f t="shared" si="7"/>
        <v>51</v>
      </c>
      <c r="Q11" s="128">
        <f t="shared" si="7"/>
        <v>51</v>
      </c>
    </row>
    <row r="12" spans="1:17" ht="15" customHeight="1" x14ac:dyDescent="0.3">
      <c r="A12" s="16">
        <v>5</v>
      </c>
      <c r="B12" s="17">
        <v>1</v>
      </c>
      <c r="C12" s="19" t="s">
        <v>13</v>
      </c>
      <c r="D12" s="20" t="s">
        <v>6</v>
      </c>
      <c r="E12" s="20">
        <v>2</v>
      </c>
      <c r="F12" s="128">
        <f>'2023.'!P12</f>
        <v>38</v>
      </c>
      <c r="G12" s="128">
        <f>'2023.'!Q12</f>
        <v>38</v>
      </c>
      <c r="H12" s="128">
        <f t="shared" si="4"/>
        <v>20.666666666666668</v>
      </c>
      <c r="I12" s="128">
        <f t="shared" si="5"/>
        <v>20.666666666666668</v>
      </c>
      <c r="J12" s="112">
        <f>ROUND('2023.'!J12*1.025,0)</f>
        <v>248</v>
      </c>
      <c r="K12" s="112">
        <f t="shared" si="8"/>
        <v>248</v>
      </c>
      <c r="L12" s="110">
        <v>204</v>
      </c>
      <c r="M12" s="112">
        <f t="shared" si="9"/>
        <v>204</v>
      </c>
      <c r="N12" s="37">
        <f>'2023.'!N12*1.025</f>
        <v>171.79819999999998</v>
      </c>
      <c r="O12" s="21">
        <f t="shared" si="6"/>
        <v>35046.832799999996</v>
      </c>
      <c r="P12" s="128">
        <f t="shared" si="7"/>
        <v>44</v>
      </c>
      <c r="Q12" s="128">
        <f t="shared" si="7"/>
        <v>44</v>
      </c>
    </row>
    <row r="13" spans="1:17" ht="15" customHeight="1" x14ac:dyDescent="0.3">
      <c r="A13" s="16">
        <v>6</v>
      </c>
      <c r="B13" s="17">
        <v>1</v>
      </c>
      <c r="C13" s="19" t="s">
        <v>14</v>
      </c>
      <c r="D13" s="20" t="s">
        <v>6</v>
      </c>
      <c r="E13" s="20">
        <v>5</v>
      </c>
      <c r="F13" s="128">
        <f>'2023.'!P13</f>
        <v>47</v>
      </c>
      <c r="G13" s="128">
        <f>'2023.'!Q13</f>
        <v>47</v>
      </c>
      <c r="H13" s="128">
        <f t="shared" si="4"/>
        <v>23.5</v>
      </c>
      <c r="I13" s="128">
        <f t="shared" si="5"/>
        <v>23.5</v>
      </c>
      <c r="J13" s="112">
        <f>ROUND('2023.'!J13*1.025,0)</f>
        <v>282</v>
      </c>
      <c r="K13" s="112">
        <f t="shared" si="8"/>
        <v>282</v>
      </c>
      <c r="L13" s="110">
        <v>228</v>
      </c>
      <c r="M13" s="112">
        <f t="shared" si="9"/>
        <v>228</v>
      </c>
      <c r="N13" s="37">
        <f>'2023.'!N13*1.025</f>
        <v>200.03899999999999</v>
      </c>
      <c r="O13" s="21">
        <f t="shared" si="6"/>
        <v>45608.892</v>
      </c>
      <c r="P13" s="128">
        <f t="shared" si="7"/>
        <v>54</v>
      </c>
      <c r="Q13" s="128">
        <f t="shared" si="7"/>
        <v>54</v>
      </c>
    </row>
    <row r="14" spans="1:17" s="15" customFormat="1" ht="15" customHeight="1" x14ac:dyDescent="0.3">
      <c r="A14" s="254" t="s">
        <v>15</v>
      </c>
      <c r="B14" s="254"/>
      <c r="C14" s="254"/>
      <c r="D14" s="254"/>
      <c r="E14" s="254"/>
      <c r="F14" s="12">
        <f>'2023.'!P14</f>
        <v>6</v>
      </c>
      <c r="G14" s="12">
        <f>'2023.'!Q14</f>
        <v>6</v>
      </c>
      <c r="H14" s="12">
        <f t="shared" si="4"/>
        <v>2.5833333333333335</v>
      </c>
      <c r="I14" s="12">
        <f t="shared" si="5"/>
        <v>2.5833333333333335</v>
      </c>
      <c r="J14" s="12">
        <f t="shared" ref="J14:L14" si="10">SUM(J15)</f>
        <v>31</v>
      </c>
      <c r="K14" s="12">
        <f t="shared" si="10"/>
        <v>31</v>
      </c>
      <c r="L14" s="12">
        <f t="shared" si="10"/>
        <v>24</v>
      </c>
      <c r="M14" s="12">
        <f t="shared" ref="M14" si="11">SUM(M15)</f>
        <v>24</v>
      </c>
      <c r="N14" s="13" t="s">
        <v>426</v>
      </c>
      <c r="O14" s="14">
        <f>SUM(O15:O15)</f>
        <v>69359.404799999975</v>
      </c>
      <c r="P14" s="12">
        <f>SUM(P15)</f>
        <v>7</v>
      </c>
      <c r="Q14" s="12">
        <f t="shared" ref="Q14" si="12">SUM(Q15)</f>
        <v>7</v>
      </c>
    </row>
    <row r="15" spans="1:17" ht="15" customHeight="1" x14ac:dyDescent="0.3">
      <c r="A15" s="16">
        <v>7</v>
      </c>
      <c r="B15" s="17">
        <v>2</v>
      </c>
      <c r="C15" s="19" t="s">
        <v>17</v>
      </c>
      <c r="D15" s="20" t="s">
        <v>10</v>
      </c>
      <c r="E15" s="20">
        <v>3</v>
      </c>
      <c r="F15" s="128">
        <f>'2023.'!P15</f>
        <v>6</v>
      </c>
      <c r="G15" s="128">
        <f>'2023.'!Q15</f>
        <v>6</v>
      </c>
      <c r="H15" s="128">
        <f t="shared" si="4"/>
        <v>2.5833333333333335</v>
      </c>
      <c r="I15" s="128">
        <f t="shared" si="5"/>
        <v>2.5833333333333335</v>
      </c>
      <c r="J15" s="112">
        <f>ROUND('2023.'!J15*1.025,0)</f>
        <v>31</v>
      </c>
      <c r="K15" s="112">
        <f t="shared" ref="K15" si="13">ROUND(IF(F15=0,J15,J15*(G15/F15)),0)</f>
        <v>31</v>
      </c>
      <c r="L15" s="110">
        <v>24</v>
      </c>
      <c r="M15" s="112">
        <f t="shared" si="9"/>
        <v>24</v>
      </c>
      <c r="N15" s="37">
        <f>'2023.'!N15*1.025</f>
        <v>2889.9751999999989</v>
      </c>
      <c r="O15" s="21">
        <f t="shared" si="6"/>
        <v>69359.404799999975</v>
      </c>
      <c r="P15" s="128">
        <f t="shared" si="7"/>
        <v>7</v>
      </c>
      <c r="Q15" s="128">
        <f t="shared" si="7"/>
        <v>7</v>
      </c>
    </row>
    <row r="16" spans="1:17" s="15" customFormat="1" ht="15" customHeight="1" x14ac:dyDescent="0.3">
      <c r="A16" s="254" t="s">
        <v>18</v>
      </c>
      <c r="B16" s="254"/>
      <c r="C16" s="254"/>
      <c r="D16" s="254"/>
      <c r="E16" s="254"/>
      <c r="F16" s="12">
        <f>'2023.'!P16</f>
        <v>416</v>
      </c>
      <c r="G16" s="12">
        <f>'2023.'!Q16</f>
        <v>585</v>
      </c>
      <c r="H16" s="12">
        <f t="shared" si="4"/>
        <v>426.83333333333331</v>
      </c>
      <c r="I16" s="12">
        <f t="shared" si="5"/>
        <v>579.5</v>
      </c>
      <c r="J16" s="12">
        <f t="shared" ref="J16:Q16" si="14">J17+J88+J114</f>
        <v>5122</v>
      </c>
      <c r="K16" s="12">
        <f t="shared" si="14"/>
        <v>6954</v>
      </c>
      <c r="L16" s="12">
        <f t="shared" si="14"/>
        <v>4694</v>
      </c>
      <c r="M16" s="12">
        <f t="shared" si="14"/>
        <v>6349</v>
      </c>
      <c r="N16" s="13" t="s">
        <v>426</v>
      </c>
      <c r="O16" s="14">
        <f t="shared" si="14"/>
        <v>1954733.5530353123</v>
      </c>
      <c r="P16" s="12">
        <f t="shared" si="14"/>
        <v>428</v>
      </c>
      <c r="Q16" s="12">
        <f t="shared" si="14"/>
        <v>605</v>
      </c>
    </row>
    <row r="17" spans="1:17" s="15" customFormat="1" ht="15" customHeight="1" x14ac:dyDescent="0.3">
      <c r="A17" s="257" t="s">
        <v>403</v>
      </c>
      <c r="B17" s="257"/>
      <c r="C17" s="257"/>
      <c r="D17" s="257"/>
      <c r="E17" s="257"/>
      <c r="F17" s="126">
        <f>'2023.'!P17</f>
        <v>114</v>
      </c>
      <c r="G17" s="126">
        <f>'2023.'!Q17</f>
        <v>139</v>
      </c>
      <c r="H17" s="126">
        <f t="shared" si="4"/>
        <v>140.58333333333334</v>
      </c>
      <c r="I17" s="126">
        <f t="shared" si="5"/>
        <v>169.08333333333334</v>
      </c>
      <c r="J17" s="126">
        <f t="shared" ref="J17:Q17" si="15">SUM(J18:J87)</f>
        <v>1687</v>
      </c>
      <c r="K17" s="126">
        <f t="shared" si="15"/>
        <v>2029</v>
      </c>
      <c r="L17" s="126">
        <f t="shared" si="15"/>
        <v>1539</v>
      </c>
      <c r="M17" s="126">
        <f t="shared" ref="M17" si="16">SUM(M18:M87)</f>
        <v>1849</v>
      </c>
      <c r="N17" s="38" t="s">
        <v>426</v>
      </c>
      <c r="O17" s="25">
        <f t="shared" si="15"/>
        <v>1107534.3611807812</v>
      </c>
      <c r="P17" s="126">
        <f t="shared" si="15"/>
        <v>148</v>
      </c>
      <c r="Q17" s="126">
        <f t="shared" si="15"/>
        <v>180</v>
      </c>
    </row>
    <row r="18" spans="1:17" ht="15" customHeight="1" x14ac:dyDescent="0.3">
      <c r="A18" s="16">
        <v>8</v>
      </c>
      <c r="B18" s="17" t="s">
        <v>408</v>
      </c>
      <c r="C18" s="26" t="s">
        <v>20</v>
      </c>
      <c r="D18" s="27" t="s">
        <v>6</v>
      </c>
      <c r="E18" s="27">
        <v>2</v>
      </c>
      <c r="F18" s="128">
        <f>'2023.'!P18</f>
        <v>1</v>
      </c>
      <c r="G18" s="128">
        <f>'2023.'!Q18</f>
        <v>1</v>
      </c>
      <c r="H18" s="127">
        <f t="shared" si="4"/>
        <v>0.33333333333333331</v>
      </c>
      <c r="I18" s="127">
        <f t="shared" si="5"/>
        <v>0.33333333333333331</v>
      </c>
      <c r="J18" s="112">
        <f>ROUND('2023.'!J18*1.025,0)</f>
        <v>4</v>
      </c>
      <c r="K18" s="112">
        <f t="shared" ref="K18" si="17">ROUND(IF(F18=0,J18,J18*(G18/F18)),0)</f>
        <v>4</v>
      </c>
      <c r="L18" s="110">
        <v>3</v>
      </c>
      <c r="M18" s="112">
        <f t="shared" ref="M18:M81" si="18">ROUND(IF(F18=0,L18,L18*(G18/F18)),0)</f>
        <v>3</v>
      </c>
      <c r="N18" s="37">
        <f>'2023.'!N18*1.025</f>
        <v>139.12533843749995</v>
      </c>
      <c r="O18" s="21">
        <f t="shared" si="6"/>
        <v>417.37601531249982</v>
      </c>
      <c r="P18" s="128">
        <f t="shared" si="7"/>
        <v>1</v>
      </c>
      <c r="Q18" s="128">
        <f t="shared" si="7"/>
        <v>1</v>
      </c>
    </row>
    <row r="19" spans="1:17" ht="15" customHeight="1" x14ac:dyDescent="0.3">
      <c r="A19" s="16">
        <v>9</v>
      </c>
      <c r="B19" s="17" t="s">
        <v>408</v>
      </c>
      <c r="C19" s="26" t="s">
        <v>22</v>
      </c>
      <c r="D19" s="27" t="s">
        <v>6</v>
      </c>
      <c r="E19" s="27">
        <v>2</v>
      </c>
      <c r="F19" s="128">
        <f>'2023.'!P19</f>
        <v>1</v>
      </c>
      <c r="G19" s="128">
        <f>'2023.'!Q19</f>
        <v>1</v>
      </c>
      <c r="H19" s="128">
        <f t="shared" si="4"/>
        <v>0.58333333333333337</v>
      </c>
      <c r="I19" s="128">
        <f t="shared" si="5"/>
        <v>0.58333333333333337</v>
      </c>
      <c r="J19" s="112">
        <f>ROUND('2023.'!J19*1.025,0)</f>
        <v>7</v>
      </c>
      <c r="K19" s="112">
        <f t="shared" ref="K19:K82" si="19">ROUND(IF(F19=0,J19,J19*(G19/F19)),0)</f>
        <v>7</v>
      </c>
      <c r="L19" s="110">
        <v>6</v>
      </c>
      <c r="M19" s="112">
        <f t="shared" si="18"/>
        <v>6</v>
      </c>
      <c r="N19" s="37">
        <f>'2023.'!N19*1.025</f>
        <v>263.9845026562499</v>
      </c>
      <c r="O19" s="21">
        <f t="shared" si="6"/>
        <v>1583.9070159374994</v>
      </c>
      <c r="P19" s="128">
        <f t="shared" si="7"/>
        <v>1</v>
      </c>
      <c r="Q19" s="128">
        <f t="shared" si="7"/>
        <v>1</v>
      </c>
    </row>
    <row r="20" spans="1:17" ht="15" customHeight="1" x14ac:dyDescent="0.3">
      <c r="A20" s="16">
        <v>10</v>
      </c>
      <c r="B20" s="17" t="s">
        <v>408</v>
      </c>
      <c r="C20" s="26" t="s">
        <v>24</v>
      </c>
      <c r="D20" s="27" t="s">
        <v>6</v>
      </c>
      <c r="E20" s="27">
        <v>2</v>
      </c>
      <c r="F20" s="128">
        <f>'2023.'!P20</f>
        <v>5</v>
      </c>
      <c r="G20" s="128">
        <f>'2023.'!Q20</f>
        <v>5</v>
      </c>
      <c r="H20" s="128">
        <f t="shared" si="4"/>
        <v>4</v>
      </c>
      <c r="I20" s="128">
        <f t="shared" si="5"/>
        <v>4</v>
      </c>
      <c r="J20" s="112">
        <f>ROUND('2023.'!J20*1.025,0)</f>
        <v>48</v>
      </c>
      <c r="K20" s="112">
        <f t="shared" si="19"/>
        <v>48</v>
      </c>
      <c r="L20" s="110">
        <v>42</v>
      </c>
      <c r="M20" s="112">
        <f t="shared" si="18"/>
        <v>42</v>
      </c>
      <c r="N20" s="37">
        <f>'2023.'!N20*1.025</f>
        <v>435.8483667187499</v>
      </c>
      <c r="O20" s="21">
        <f t="shared" si="6"/>
        <v>18305.631402187497</v>
      </c>
      <c r="P20" s="128">
        <f t="shared" si="7"/>
        <v>6</v>
      </c>
      <c r="Q20" s="128">
        <f t="shared" si="7"/>
        <v>6</v>
      </c>
    </row>
    <row r="21" spans="1:17" ht="27.65" customHeight="1" x14ac:dyDescent="0.3">
      <c r="A21" s="16">
        <v>11</v>
      </c>
      <c r="B21" s="17" t="s">
        <v>408</v>
      </c>
      <c r="C21" s="26" t="s">
        <v>25</v>
      </c>
      <c r="D21" s="27" t="s">
        <v>6</v>
      </c>
      <c r="E21" s="27">
        <v>2</v>
      </c>
      <c r="F21" s="128">
        <f>'2023.'!P21</f>
        <v>0</v>
      </c>
      <c r="G21" s="128">
        <f>'2023.'!Q21</f>
        <v>0</v>
      </c>
      <c r="H21" s="128">
        <f t="shared" si="4"/>
        <v>0.5</v>
      </c>
      <c r="I21" s="128">
        <f t="shared" si="5"/>
        <v>0.5</v>
      </c>
      <c r="J21" s="112">
        <f>ROUND('2023.'!J21*1.025,0)</f>
        <v>6</v>
      </c>
      <c r="K21" s="112">
        <f t="shared" si="19"/>
        <v>6</v>
      </c>
      <c r="L21" s="110">
        <v>6</v>
      </c>
      <c r="M21" s="112">
        <f t="shared" si="18"/>
        <v>6</v>
      </c>
      <c r="N21" s="37">
        <f>'2023.'!N21*1.025</f>
        <v>502.82571046874995</v>
      </c>
      <c r="O21" s="21">
        <f t="shared" si="6"/>
        <v>3016.9542628124996</v>
      </c>
      <c r="P21" s="128">
        <f t="shared" si="7"/>
        <v>0</v>
      </c>
      <c r="Q21" s="128">
        <f t="shared" si="7"/>
        <v>0</v>
      </c>
    </row>
    <row r="22" spans="1:17" ht="54.65" customHeight="1" x14ac:dyDescent="0.3">
      <c r="A22" s="16">
        <v>12</v>
      </c>
      <c r="B22" s="17" t="s">
        <v>408</v>
      </c>
      <c r="C22" s="26" t="s">
        <v>26</v>
      </c>
      <c r="D22" s="27" t="s">
        <v>6</v>
      </c>
      <c r="E22" s="27">
        <v>1</v>
      </c>
      <c r="F22" s="128">
        <f>'2023.'!P22</f>
        <v>0</v>
      </c>
      <c r="G22" s="128">
        <f>'2023.'!Q22</f>
        <v>0</v>
      </c>
      <c r="H22" s="128">
        <f t="shared" si="4"/>
        <v>4.166666666666667</v>
      </c>
      <c r="I22" s="128">
        <f t="shared" si="5"/>
        <v>4.166666666666667</v>
      </c>
      <c r="J22" s="112">
        <f>ROUND('2023.'!J22*1.025,0)</f>
        <v>50</v>
      </c>
      <c r="K22" s="112">
        <f t="shared" si="19"/>
        <v>50</v>
      </c>
      <c r="L22" s="110">
        <v>49</v>
      </c>
      <c r="M22" s="112">
        <f t="shared" si="18"/>
        <v>49</v>
      </c>
      <c r="N22" s="37">
        <f>'2023.'!N22*1.025</f>
        <v>1248.4576874999998</v>
      </c>
      <c r="O22" s="21">
        <f t="shared" si="6"/>
        <v>61174.426687499988</v>
      </c>
      <c r="P22" s="128">
        <f t="shared" si="7"/>
        <v>1</v>
      </c>
      <c r="Q22" s="128">
        <f t="shared" si="7"/>
        <v>1</v>
      </c>
    </row>
    <row r="23" spans="1:17" ht="27.65" customHeight="1" x14ac:dyDescent="0.3">
      <c r="A23" s="16">
        <v>13</v>
      </c>
      <c r="B23" s="17" t="s">
        <v>408</v>
      </c>
      <c r="C23" s="26" t="s">
        <v>27</v>
      </c>
      <c r="D23" s="27" t="s">
        <v>6</v>
      </c>
      <c r="E23" s="27">
        <v>1</v>
      </c>
      <c r="F23" s="128">
        <f>'2023.'!P23</f>
        <v>0</v>
      </c>
      <c r="G23" s="128">
        <f>'2023.'!Q23</f>
        <v>0</v>
      </c>
      <c r="H23" s="128">
        <f t="shared" si="4"/>
        <v>4.166666666666667</v>
      </c>
      <c r="I23" s="128">
        <f t="shared" si="5"/>
        <v>4.166666666666667</v>
      </c>
      <c r="J23" s="112">
        <f>ROUND('2023.'!J23*1.025,0)</f>
        <v>50</v>
      </c>
      <c r="K23" s="112">
        <f t="shared" si="19"/>
        <v>50</v>
      </c>
      <c r="L23" s="110">
        <v>49</v>
      </c>
      <c r="M23" s="112">
        <f t="shared" si="18"/>
        <v>49</v>
      </c>
      <c r="N23" s="37">
        <f>'2023.'!N23*1.025</f>
        <v>1316.1985729687497</v>
      </c>
      <c r="O23" s="21">
        <f t="shared" si="6"/>
        <v>64493.730075468731</v>
      </c>
      <c r="P23" s="128">
        <f t="shared" si="7"/>
        <v>1</v>
      </c>
      <c r="Q23" s="128">
        <f t="shared" si="7"/>
        <v>1</v>
      </c>
    </row>
    <row r="24" spans="1:17" ht="27.65" customHeight="1" x14ac:dyDescent="0.3">
      <c r="A24" s="16">
        <v>14</v>
      </c>
      <c r="B24" s="17" t="s">
        <v>408</v>
      </c>
      <c r="C24" s="26" t="s">
        <v>412</v>
      </c>
      <c r="D24" s="27" t="s">
        <v>6</v>
      </c>
      <c r="E24" s="27">
        <v>1</v>
      </c>
      <c r="F24" s="128">
        <f>'2023.'!P24</f>
        <v>14</v>
      </c>
      <c r="G24" s="128">
        <f>'2023.'!Q24</f>
        <v>14</v>
      </c>
      <c r="H24" s="128">
        <f t="shared" si="4"/>
        <v>7.5</v>
      </c>
      <c r="I24" s="128">
        <f t="shared" si="5"/>
        <v>7.5</v>
      </c>
      <c r="J24" s="112">
        <f>ROUND('2023.'!J24*1.025,0)</f>
        <v>90</v>
      </c>
      <c r="K24" s="112">
        <f t="shared" si="19"/>
        <v>90</v>
      </c>
      <c r="L24" s="110">
        <v>74</v>
      </c>
      <c r="M24" s="112">
        <f t="shared" si="18"/>
        <v>74</v>
      </c>
      <c r="N24" s="37">
        <f>'2023.'!N24*1.025</f>
        <v>1362.0110760937494</v>
      </c>
      <c r="O24" s="21">
        <f t="shared" si="6"/>
        <v>100788.81963093745</v>
      </c>
      <c r="P24" s="128">
        <f t="shared" si="7"/>
        <v>16</v>
      </c>
      <c r="Q24" s="128">
        <f t="shared" si="7"/>
        <v>16</v>
      </c>
    </row>
    <row r="25" spans="1:17" ht="27.65" customHeight="1" x14ac:dyDescent="0.3">
      <c r="A25" s="16">
        <v>15</v>
      </c>
      <c r="B25" s="17" t="s">
        <v>408</v>
      </c>
      <c r="C25" s="26" t="s">
        <v>30</v>
      </c>
      <c r="D25" s="27" t="s">
        <v>6</v>
      </c>
      <c r="E25" s="27">
        <v>2</v>
      </c>
      <c r="F25" s="128">
        <f>'2023.'!P25</f>
        <v>0</v>
      </c>
      <c r="G25" s="128">
        <f>'2023.'!Q25</f>
        <v>0</v>
      </c>
      <c r="H25" s="128">
        <f t="shared" si="4"/>
        <v>0.5</v>
      </c>
      <c r="I25" s="128">
        <f t="shared" si="5"/>
        <v>0.5</v>
      </c>
      <c r="J25" s="112">
        <f>ROUND('2023.'!J25*1.025,0)</f>
        <v>6</v>
      </c>
      <c r="K25" s="112">
        <f t="shared" si="19"/>
        <v>6</v>
      </c>
      <c r="L25" s="110">
        <v>6</v>
      </c>
      <c r="M25" s="112">
        <f t="shared" si="18"/>
        <v>6</v>
      </c>
      <c r="N25" s="37">
        <f>'2023.'!N25*1.025</f>
        <v>435.8483667187499</v>
      </c>
      <c r="O25" s="21">
        <f t="shared" si="6"/>
        <v>2615.0902003124993</v>
      </c>
      <c r="P25" s="128">
        <f t="shared" si="7"/>
        <v>0</v>
      </c>
      <c r="Q25" s="128">
        <f t="shared" si="7"/>
        <v>0</v>
      </c>
    </row>
    <row r="26" spans="1:17" ht="15" customHeight="1" x14ac:dyDescent="0.3">
      <c r="A26" s="16">
        <v>16</v>
      </c>
      <c r="B26" s="17" t="s">
        <v>408</v>
      </c>
      <c r="C26" s="26" t="s">
        <v>31</v>
      </c>
      <c r="D26" s="27" t="s">
        <v>6</v>
      </c>
      <c r="E26" s="27">
        <v>2</v>
      </c>
      <c r="F26" s="128">
        <f>'2023.'!P26</f>
        <v>0</v>
      </c>
      <c r="G26" s="128">
        <f>'2023.'!Q26</f>
        <v>0</v>
      </c>
      <c r="H26" s="128">
        <f t="shared" si="4"/>
        <v>1</v>
      </c>
      <c r="I26" s="128">
        <f t="shared" si="5"/>
        <v>1</v>
      </c>
      <c r="J26" s="112">
        <f>ROUND('2023.'!J26*1.025,0)</f>
        <v>12</v>
      </c>
      <c r="K26" s="112">
        <f t="shared" si="19"/>
        <v>12</v>
      </c>
      <c r="L26" s="110">
        <v>12</v>
      </c>
      <c r="M26" s="112">
        <f t="shared" si="18"/>
        <v>12</v>
      </c>
      <c r="N26" s="37">
        <f>'2023.'!N26*1.025</f>
        <v>5646.0293324999993</v>
      </c>
      <c r="O26" s="21">
        <f t="shared" si="6"/>
        <v>67752.351989999996</v>
      </c>
      <c r="P26" s="128">
        <f t="shared" si="7"/>
        <v>0</v>
      </c>
      <c r="Q26" s="128">
        <f t="shared" si="7"/>
        <v>0</v>
      </c>
    </row>
    <row r="27" spans="1:17" ht="15" customHeight="1" x14ac:dyDescent="0.3">
      <c r="A27" s="16">
        <v>17</v>
      </c>
      <c r="B27" s="17" t="s">
        <v>408</v>
      </c>
      <c r="C27" s="26" t="s">
        <v>32</v>
      </c>
      <c r="D27" s="27" t="s">
        <v>6</v>
      </c>
      <c r="E27" s="27">
        <v>2</v>
      </c>
      <c r="F27" s="128">
        <f>'2023.'!P27</f>
        <v>0</v>
      </c>
      <c r="G27" s="128">
        <f>'2023.'!Q27</f>
        <v>0</v>
      </c>
      <c r="H27" s="128">
        <f t="shared" si="4"/>
        <v>0.5</v>
      </c>
      <c r="I27" s="128">
        <f t="shared" si="5"/>
        <v>0.5</v>
      </c>
      <c r="J27" s="112">
        <f>ROUND('2023.'!J27*1.025,0)</f>
        <v>6</v>
      </c>
      <c r="K27" s="112">
        <f t="shared" si="19"/>
        <v>6</v>
      </c>
      <c r="L27" s="110">
        <v>6</v>
      </c>
      <c r="M27" s="112">
        <f t="shared" si="18"/>
        <v>6</v>
      </c>
      <c r="N27" s="37">
        <f>'2023.'!N27*1.025</f>
        <v>6492.9360437499981</v>
      </c>
      <c r="O27" s="21">
        <f t="shared" si="6"/>
        <v>38957.616262499985</v>
      </c>
      <c r="P27" s="128">
        <f t="shared" si="7"/>
        <v>0</v>
      </c>
      <c r="Q27" s="128">
        <f t="shared" si="7"/>
        <v>0</v>
      </c>
    </row>
    <row r="28" spans="1:17" ht="15" customHeight="1" x14ac:dyDescent="0.3">
      <c r="A28" s="16">
        <v>18</v>
      </c>
      <c r="B28" s="17" t="s">
        <v>408</v>
      </c>
      <c r="C28" s="26" t="s">
        <v>33</v>
      </c>
      <c r="D28" s="27" t="s">
        <v>6</v>
      </c>
      <c r="E28" s="27">
        <v>1</v>
      </c>
      <c r="F28" s="128">
        <f>'2023.'!P28</f>
        <v>0</v>
      </c>
      <c r="G28" s="128">
        <f>'2023.'!Q28</f>
        <v>0</v>
      </c>
      <c r="H28" s="128">
        <f t="shared" si="4"/>
        <v>0.5</v>
      </c>
      <c r="I28" s="128">
        <f t="shared" si="5"/>
        <v>0.5</v>
      </c>
      <c r="J28" s="112">
        <f>ROUND('2023.'!J28*1.025,0)</f>
        <v>6</v>
      </c>
      <c r="K28" s="112">
        <f t="shared" si="19"/>
        <v>6</v>
      </c>
      <c r="L28" s="110">
        <v>6</v>
      </c>
      <c r="M28" s="112">
        <f t="shared" si="18"/>
        <v>6</v>
      </c>
      <c r="N28" s="37">
        <f>'2023.'!N28*1.025</f>
        <v>1635.8948301562496</v>
      </c>
      <c r="O28" s="21">
        <f t="shared" si="6"/>
        <v>9815.3689809374973</v>
      </c>
      <c r="P28" s="128">
        <f t="shared" si="7"/>
        <v>0</v>
      </c>
      <c r="Q28" s="128">
        <f t="shared" si="7"/>
        <v>0</v>
      </c>
    </row>
    <row r="29" spans="1:17" ht="15" customHeight="1" x14ac:dyDescent="0.3">
      <c r="A29" s="16">
        <v>19</v>
      </c>
      <c r="B29" s="17" t="s">
        <v>408</v>
      </c>
      <c r="C29" s="26" t="s">
        <v>34</v>
      </c>
      <c r="D29" s="27" t="s">
        <v>6</v>
      </c>
      <c r="E29" s="27">
        <v>1</v>
      </c>
      <c r="F29" s="128">
        <f>'2023.'!P29</f>
        <v>0</v>
      </c>
      <c r="G29" s="128">
        <f>'2023.'!Q29</f>
        <v>0</v>
      </c>
      <c r="H29" s="128">
        <f t="shared" si="4"/>
        <v>0.5</v>
      </c>
      <c r="I29" s="128">
        <f t="shared" si="5"/>
        <v>0.5</v>
      </c>
      <c r="J29" s="112">
        <f>ROUND('2023.'!J29*1.025,0)</f>
        <v>6</v>
      </c>
      <c r="K29" s="112">
        <f t="shared" si="19"/>
        <v>6</v>
      </c>
      <c r="L29" s="110">
        <v>6</v>
      </c>
      <c r="M29" s="112">
        <f t="shared" si="18"/>
        <v>6</v>
      </c>
      <c r="N29" s="37">
        <f>'2023.'!N29*1.025</f>
        <v>1963.0717999999997</v>
      </c>
      <c r="O29" s="21">
        <f t="shared" si="6"/>
        <v>11778.430799999998</v>
      </c>
      <c r="P29" s="128">
        <f t="shared" si="7"/>
        <v>0</v>
      </c>
      <c r="Q29" s="128">
        <f t="shared" si="7"/>
        <v>0</v>
      </c>
    </row>
    <row r="30" spans="1:17" ht="15" customHeight="1" x14ac:dyDescent="0.3">
      <c r="A30" s="16">
        <v>20</v>
      </c>
      <c r="B30" s="17" t="s">
        <v>408</v>
      </c>
      <c r="C30" s="26" t="s">
        <v>35</v>
      </c>
      <c r="D30" s="27" t="s">
        <v>6</v>
      </c>
      <c r="E30" s="27">
        <v>1</v>
      </c>
      <c r="F30" s="128">
        <f>'2023.'!P30</f>
        <v>0</v>
      </c>
      <c r="G30" s="128">
        <f>'2023.'!Q30</f>
        <v>0</v>
      </c>
      <c r="H30" s="128">
        <f t="shared" si="4"/>
        <v>0.5</v>
      </c>
      <c r="I30" s="128">
        <f t="shared" si="5"/>
        <v>0.5</v>
      </c>
      <c r="J30" s="112">
        <f>ROUND('2023.'!J30*1.025,0)</f>
        <v>6</v>
      </c>
      <c r="K30" s="112">
        <f t="shared" si="19"/>
        <v>6</v>
      </c>
      <c r="L30" s="110">
        <v>6</v>
      </c>
      <c r="M30" s="112">
        <f t="shared" si="18"/>
        <v>6</v>
      </c>
      <c r="N30" s="37">
        <f>'2023.'!N30*1.025</f>
        <v>2971.3694826562496</v>
      </c>
      <c r="O30" s="21">
        <f t="shared" si="6"/>
        <v>17828.216895937498</v>
      </c>
      <c r="P30" s="128">
        <f t="shared" si="7"/>
        <v>0</v>
      </c>
      <c r="Q30" s="128">
        <f t="shared" si="7"/>
        <v>0</v>
      </c>
    </row>
    <row r="31" spans="1:17" ht="15" customHeight="1" x14ac:dyDescent="0.3">
      <c r="A31" s="16">
        <v>21</v>
      </c>
      <c r="B31" s="17" t="s">
        <v>408</v>
      </c>
      <c r="C31" s="26" t="s">
        <v>36</v>
      </c>
      <c r="D31" s="27" t="s">
        <v>6</v>
      </c>
      <c r="E31" s="27">
        <v>1</v>
      </c>
      <c r="F31" s="128">
        <f>'2023.'!P31</f>
        <v>0</v>
      </c>
      <c r="G31" s="128">
        <f>'2023.'!Q31</f>
        <v>0</v>
      </c>
      <c r="H31" s="128">
        <f t="shared" si="4"/>
        <v>0.5</v>
      </c>
      <c r="I31" s="128">
        <f t="shared" si="5"/>
        <v>0.5</v>
      </c>
      <c r="J31" s="112">
        <f>ROUND('2023.'!J31*1.025,0)</f>
        <v>6</v>
      </c>
      <c r="K31" s="112">
        <f t="shared" si="19"/>
        <v>6</v>
      </c>
      <c r="L31" s="110">
        <v>6</v>
      </c>
      <c r="M31" s="112">
        <f t="shared" si="18"/>
        <v>6</v>
      </c>
      <c r="N31" s="37">
        <f>'2023.'!N31*1.025</f>
        <v>3565.642643749999</v>
      </c>
      <c r="O31" s="21">
        <f t="shared" si="6"/>
        <v>21393.855862499993</v>
      </c>
      <c r="P31" s="128">
        <f t="shared" si="7"/>
        <v>0</v>
      </c>
      <c r="Q31" s="128">
        <f t="shared" si="7"/>
        <v>0</v>
      </c>
    </row>
    <row r="32" spans="1:17" ht="15" customHeight="1" x14ac:dyDescent="0.3">
      <c r="A32" s="16">
        <v>22</v>
      </c>
      <c r="B32" s="17" t="s">
        <v>408</v>
      </c>
      <c r="C32" s="26" t="s">
        <v>38</v>
      </c>
      <c r="D32" s="27" t="s">
        <v>6</v>
      </c>
      <c r="E32" s="27">
        <v>2</v>
      </c>
      <c r="F32" s="128">
        <f>'2023.'!P32</f>
        <v>1</v>
      </c>
      <c r="G32" s="128">
        <f>'2023.'!Q32</f>
        <v>1</v>
      </c>
      <c r="H32" s="127">
        <f t="shared" si="4"/>
        <v>0.33333333333333331</v>
      </c>
      <c r="I32" s="127">
        <f t="shared" si="5"/>
        <v>0.33333333333333331</v>
      </c>
      <c r="J32" s="112">
        <f>ROUND('2023.'!J32*1.025,0)</f>
        <v>4</v>
      </c>
      <c r="K32" s="112">
        <f t="shared" si="19"/>
        <v>4</v>
      </c>
      <c r="L32" s="110">
        <v>3</v>
      </c>
      <c r="M32" s="112">
        <f t="shared" si="18"/>
        <v>3</v>
      </c>
      <c r="N32" s="37">
        <f>'2023.'!N32*1.025</f>
        <v>89.42814937499999</v>
      </c>
      <c r="O32" s="21">
        <f t="shared" si="6"/>
        <v>268.28444812499998</v>
      </c>
      <c r="P32" s="128">
        <f t="shared" si="7"/>
        <v>1</v>
      </c>
      <c r="Q32" s="128">
        <f t="shared" si="7"/>
        <v>1</v>
      </c>
    </row>
    <row r="33" spans="1:17" ht="15" customHeight="1" x14ac:dyDescent="0.3">
      <c r="A33" s="16">
        <v>23</v>
      </c>
      <c r="B33" s="17" t="s">
        <v>408</v>
      </c>
      <c r="C33" s="26" t="s">
        <v>40</v>
      </c>
      <c r="D33" s="27" t="s">
        <v>6</v>
      </c>
      <c r="E33" s="27">
        <v>2</v>
      </c>
      <c r="F33" s="128">
        <f>'2023.'!P33</f>
        <v>6</v>
      </c>
      <c r="G33" s="128">
        <f>'2023.'!Q33</f>
        <v>6</v>
      </c>
      <c r="H33" s="128">
        <f t="shared" si="4"/>
        <v>4.833333333333333</v>
      </c>
      <c r="I33" s="128">
        <f t="shared" si="5"/>
        <v>4.833333333333333</v>
      </c>
      <c r="J33" s="112">
        <f>ROUND('2023.'!J33*1.025,0)</f>
        <v>58</v>
      </c>
      <c r="K33" s="112">
        <f t="shared" si="19"/>
        <v>58</v>
      </c>
      <c r="L33" s="110">
        <v>51</v>
      </c>
      <c r="M33" s="112">
        <f t="shared" si="18"/>
        <v>51</v>
      </c>
      <c r="N33" s="37">
        <f>'2023.'!N33*1.025</f>
        <v>624.2288437499999</v>
      </c>
      <c r="O33" s="21">
        <f t="shared" si="6"/>
        <v>31835.671031249996</v>
      </c>
      <c r="P33" s="128">
        <f t="shared" si="7"/>
        <v>7</v>
      </c>
      <c r="Q33" s="128">
        <f t="shared" si="7"/>
        <v>7</v>
      </c>
    </row>
    <row r="34" spans="1:17" ht="28.75" customHeight="1" x14ac:dyDescent="0.3">
      <c r="A34" s="16">
        <v>24</v>
      </c>
      <c r="B34" s="17" t="s">
        <v>408</v>
      </c>
      <c r="C34" s="26" t="s">
        <v>41</v>
      </c>
      <c r="D34" s="27" t="s">
        <v>6</v>
      </c>
      <c r="E34" s="27">
        <v>2</v>
      </c>
      <c r="F34" s="128">
        <f>'2023.'!P34</f>
        <v>0</v>
      </c>
      <c r="G34" s="128">
        <f>'2023.'!Q34</f>
        <v>0</v>
      </c>
      <c r="H34" s="128">
        <f t="shared" si="4"/>
        <v>0.5</v>
      </c>
      <c r="I34" s="128">
        <f t="shared" si="5"/>
        <v>0.5</v>
      </c>
      <c r="J34" s="112">
        <f>ROUND('2023.'!J34*1.025,0)</f>
        <v>6</v>
      </c>
      <c r="K34" s="112">
        <f t="shared" si="19"/>
        <v>6</v>
      </c>
      <c r="L34" s="110">
        <v>6</v>
      </c>
      <c r="M34" s="112">
        <f t="shared" si="18"/>
        <v>6</v>
      </c>
      <c r="N34" s="37">
        <f>'2023.'!N34*1.025</f>
        <v>691.20618749999994</v>
      </c>
      <c r="O34" s="21">
        <f t="shared" si="6"/>
        <v>4147.2371249999997</v>
      </c>
      <c r="P34" s="128">
        <f t="shared" si="7"/>
        <v>0</v>
      </c>
      <c r="Q34" s="128">
        <f t="shared" si="7"/>
        <v>0</v>
      </c>
    </row>
    <row r="35" spans="1:17" ht="15" customHeight="1" x14ac:dyDescent="0.3">
      <c r="A35" s="16">
        <v>25</v>
      </c>
      <c r="B35" s="17" t="s">
        <v>408</v>
      </c>
      <c r="C35" s="26" t="s">
        <v>43</v>
      </c>
      <c r="D35" s="27" t="s">
        <v>6</v>
      </c>
      <c r="E35" s="27">
        <v>2</v>
      </c>
      <c r="F35" s="128">
        <f>'2023.'!P35</f>
        <v>1</v>
      </c>
      <c r="G35" s="128">
        <f>'2023.'!Q35</f>
        <v>1</v>
      </c>
      <c r="H35" s="127">
        <f t="shared" si="4"/>
        <v>0.33333333333333331</v>
      </c>
      <c r="I35" s="127">
        <f t="shared" si="5"/>
        <v>0.33333333333333331</v>
      </c>
      <c r="J35" s="112">
        <f>ROUND('2023.'!J35*1.025,0)</f>
        <v>4</v>
      </c>
      <c r="K35" s="112">
        <f t="shared" si="19"/>
        <v>4</v>
      </c>
      <c r="L35" s="110">
        <v>3</v>
      </c>
      <c r="M35" s="112">
        <f t="shared" si="18"/>
        <v>3</v>
      </c>
      <c r="N35" s="37">
        <f>'2023.'!N35*1.025</f>
        <v>666.51833859374983</v>
      </c>
      <c r="O35" s="21">
        <f t="shared" si="6"/>
        <v>1999.5550157812495</v>
      </c>
      <c r="P35" s="128">
        <f t="shared" si="7"/>
        <v>1</v>
      </c>
      <c r="Q35" s="128">
        <f t="shared" si="7"/>
        <v>1</v>
      </c>
    </row>
    <row r="36" spans="1:17" ht="27.65" customHeight="1" x14ac:dyDescent="0.3">
      <c r="A36" s="16">
        <v>26</v>
      </c>
      <c r="B36" s="17" t="s">
        <v>408</v>
      </c>
      <c r="C36" s="26" t="s">
        <v>44</v>
      </c>
      <c r="D36" s="27" t="s">
        <v>6</v>
      </c>
      <c r="E36" s="27">
        <v>2</v>
      </c>
      <c r="F36" s="128">
        <f>'2023.'!P36</f>
        <v>0</v>
      </c>
      <c r="G36" s="128">
        <f>'2023.'!Q36</f>
        <v>0</v>
      </c>
      <c r="H36" s="128">
        <f t="shared" si="4"/>
        <v>0.5</v>
      </c>
      <c r="I36" s="128">
        <f t="shared" si="5"/>
        <v>0.5</v>
      </c>
      <c r="J36" s="112">
        <f>ROUND('2023.'!J36*1.025,0)</f>
        <v>6</v>
      </c>
      <c r="K36" s="112">
        <f t="shared" si="19"/>
        <v>6</v>
      </c>
      <c r="L36" s="110">
        <v>6</v>
      </c>
      <c r="M36" s="112">
        <f t="shared" si="18"/>
        <v>6</v>
      </c>
      <c r="N36" s="37">
        <f>'2023.'!N36*1.025</f>
        <v>733.49568234374988</v>
      </c>
      <c r="O36" s="21">
        <f t="shared" si="6"/>
        <v>4400.9740940624997</v>
      </c>
      <c r="P36" s="128">
        <f t="shared" si="7"/>
        <v>0</v>
      </c>
      <c r="Q36" s="128">
        <f t="shared" si="7"/>
        <v>0</v>
      </c>
    </row>
    <row r="37" spans="1:17" ht="15" customHeight="1" x14ac:dyDescent="0.3">
      <c r="A37" s="16">
        <v>27</v>
      </c>
      <c r="B37" s="17" t="s">
        <v>408</v>
      </c>
      <c r="C37" s="26" t="s">
        <v>46</v>
      </c>
      <c r="D37" s="27" t="s">
        <v>6</v>
      </c>
      <c r="E37" s="27">
        <v>2</v>
      </c>
      <c r="F37" s="128">
        <f>'2023.'!P37</f>
        <v>0</v>
      </c>
      <c r="G37" s="128">
        <f>'2023.'!Q37</f>
        <v>0</v>
      </c>
      <c r="H37" s="127">
        <f t="shared" si="4"/>
        <v>0.25</v>
      </c>
      <c r="I37" s="127">
        <f t="shared" si="5"/>
        <v>0.25</v>
      </c>
      <c r="J37" s="112">
        <f>ROUND('2023.'!J37*1.025,0)</f>
        <v>3</v>
      </c>
      <c r="K37" s="112">
        <f t="shared" si="19"/>
        <v>3</v>
      </c>
      <c r="L37" s="110">
        <v>3</v>
      </c>
      <c r="M37" s="112">
        <f t="shared" si="18"/>
        <v>3</v>
      </c>
      <c r="N37" s="37">
        <f>'2023.'!N37*1.025</f>
        <v>160.29017906249996</v>
      </c>
      <c r="O37" s="21">
        <f t="shared" si="6"/>
        <v>480.87053718749985</v>
      </c>
      <c r="P37" s="128">
        <f t="shared" si="7"/>
        <v>0</v>
      </c>
      <c r="Q37" s="128">
        <f t="shared" si="7"/>
        <v>0</v>
      </c>
    </row>
    <row r="38" spans="1:17" ht="15" customHeight="1" x14ac:dyDescent="0.3">
      <c r="A38" s="16">
        <v>28</v>
      </c>
      <c r="B38" s="17" t="s">
        <v>408</v>
      </c>
      <c r="C38" s="26" t="s">
        <v>48</v>
      </c>
      <c r="D38" s="27" t="s">
        <v>6</v>
      </c>
      <c r="E38" s="27">
        <v>2</v>
      </c>
      <c r="F38" s="128">
        <f>'2023.'!P38</f>
        <v>0</v>
      </c>
      <c r="G38" s="128">
        <f>'2023.'!Q38</f>
        <v>0</v>
      </c>
      <c r="H38" s="127">
        <f t="shared" si="4"/>
        <v>0.25</v>
      </c>
      <c r="I38" s="127">
        <f t="shared" si="5"/>
        <v>0.25</v>
      </c>
      <c r="J38" s="112">
        <f>ROUND('2023.'!J38*1.025,0)</f>
        <v>3</v>
      </c>
      <c r="K38" s="112">
        <f t="shared" si="19"/>
        <v>3</v>
      </c>
      <c r="L38" s="110">
        <v>3</v>
      </c>
      <c r="M38" s="112">
        <f t="shared" si="18"/>
        <v>3</v>
      </c>
      <c r="N38" s="37">
        <f>'2023.'!N38*1.025</f>
        <v>267.14583328124996</v>
      </c>
      <c r="O38" s="21">
        <f t="shared" si="6"/>
        <v>801.43749984374995</v>
      </c>
      <c r="P38" s="128">
        <f t="shared" si="7"/>
        <v>0</v>
      </c>
      <c r="Q38" s="128">
        <f t="shared" si="7"/>
        <v>0</v>
      </c>
    </row>
    <row r="39" spans="1:17" ht="15" customHeight="1" x14ac:dyDescent="0.3">
      <c r="A39" s="16">
        <v>29</v>
      </c>
      <c r="B39" s="17" t="s">
        <v>408</v>
      </c>
      <c r="C39" s="26" t="s">
        <v>50</v>
      </c>
      <c r="D39" s="27" t="s">
        <v>6</v>
      </c>
      <c r="E39" s="27">
        <v>2</v>
      </c>
      <c r="F39" s="128">
        <f>'2023.'!P39</f>
        <v>0</v>
      </c>
      <c r="G39" s="128">
        <f>'2023.'!Q39</f>
        <v>0</v>
      </c>
      <c r="H39" s="127">
        <f t="shared" si="4"/>
        <v>0.25</v>
      </c>
      <c r="I39" s="127">
        <f t="shared" si="5"/>
        <v>0.25</v>
      </c>
      <c r="J39" s="112">
        <f>ROUND('2023.'!J39*1.025,0)</f>
        <v>3</v>
      </c>
      <c r="K39" s="112">
        <f t="shared" si="19"/>
        <v>3</v>
      </c>
      <c r="L39" s="110">
        <v>3</v>
      </c>
      <c r="M39" s="112">
        <f t="shared" si="18"/>
        <v>3</v>
      </c>
      <c r="N39" s="37">
        <f>'2023.'!N39*1.025</f>
        <v>267.14583328124996</v>
      </c>
      <c r="O39" s="21">
        <f t="shared" si="6"/>
        <v>801.43749984374995</v>
      </c>
      <c r="P39" s="128">
        <f t="shared" si="7"/>
        <v>0</v>
      </c>
      <c r="Q39" s="128">
        <f t="shared" si="7"/>
        <v>0</v>
      </c>
    </row>
    <row r="40" spans="1:17" ht="15" customHeight="1" x14ac:dyDescent="0.3">
      <c r="A40" s="16">
        <v>30</v>
      </c>
      <c r="B40" s="17" t="s">
        <v>408</v>
      </c>
      <c r="C40" s="26" t="s">
        <v>52</v>
      </c>
      <c r="D40" s="27" t="s">
        <v>6</v>
      </c>
      <c r="E40" s="27">
        <v>1</v>
      </c>
      <c r="F40" s="128">
        <f>'2023.'!P40</f>
        <v>0</v>
      </c>
      <c r="G40" s="128">
        <f>'2023.'!Q40</f>
        <v>0</v>
      </c>
      <c r="H40" s="127">
        <f t="shared" si="4"/>
        <v>0.25</v>
      </c>
      <c r="I40" s="127">
        <f t="shared" si="5"/>
        <v>0.25</v>
      </c>
      <c r="J40" s="112">
        <f>ROUND('2023.'!J40*1.025,0)</f>
        <v>3</v>
      </c>
      <c r="K40" s="112">
        <f t="shared" si="19"/>
        <v>3</v>
      </c>
      <c r="L40" s="110">
        <v>3</v>
      </c>
      <c r="M40" s="112">
        <f t="shared" si="18"/>
        <v>3</v>
      </c>
      <c r="N40" s="37">
        <f>'2023.'!N40*1.025</f>
        <v>213.71130843749992</v>
      </c>
      <c r="O40" s="21">
        <f t="shared" si="6"/>
        <v>641.13392531249974</v>
      </c>
      <c r="P40" s="128">
        <f t="shared" si="7"/>
        <v>0</v>
      </c>
      <c r="Q40" s="128">
        <f t="shared" si="7"/>
        <v>0</v>
      </c>
    </row>
    <row r="41" spans="1:17" ht="15" customHeight="1" x14ac:dyDescent="0.3">
      <c r="A41" s="16">
        <v>31</v>
      </c>
      <c r="B41" s="17" t="s">
        <v>408</v>
      </c>
      <c r="C41" s="26" t="s">
        <v>54</v>
      </c>
      <c r="D41" s="27" t="s">
        <v>6</v>
      </c>
      <c r="E41" s="27">
        <v>2</v>
      </c>
      <c r="F41" s="128">
        <f>'2023.'!P41</f>
        <v>3</v>
      </c>
      <c r="G41" s="128">
        <f>'2023.'!Q41</f>
        <v>6</v>
      </c>
      <c r="H41" s="128">
        <f t="shared" si="4"/>
        <v>2.3333333333333335</v>
      </c>
      <c r="I41" s="128">
        <f t="shared" si="5"/>
        <v>4.666666666666667</v>
      </c>
      <c r="J41" s="112">
        <f>ROUND('2023.'!J41*1.025,0)</f>
        <v>28</v>
      </c>
      <c r="K41" s="112">
        <f t="shared" si="19"/>
        <v>56</v>
      </c>
      <c r="L41" s="110">
        <v>24</v>
      </c>
      <c r="M41" s="112">
        <f t="shared" si="18"/>
        <v>48</v>
      </c>
      <c r="N41" s="37">
        <f>'2023.'!N41*1.025</f>
        <v>169.45267968749997</v>
      </c>
      <c r="O41" s="21">
        <f t="shared" si="6"/>
        <v>8133.7286249999979</v>
      </c>
      <c r="P41" s="128">
        <f t="shared" si="7"/>
        <v>4</v>
      </c>
      <c r="Q41" s="128">
        <f t="shared" si="7"/>
        <v>8</v>
      </c>
    </row>
    <row r="42" spans="1:17" ht="15" customHeight="1" x14ac:dyDescent="0.3">
      <c r="A42" s="16">
        <v>32</v>
      </c>
      <c r="B42" s="17" t="s">
        <v>408</v>
      </c>
      <c r="C42" s="26" t="s">
        <v>55</v>
      </c>
      <c r="D42" s="27" t="s">
        <v>6</v>
      </c>
      <c r="E42" s="27">
        <v>2</v>
      </c>
      <c r="F42" s="128">
        <f>'2023.'!P42</f>
        <v>0</v>
      </c>
      <c r="G42" s="128">
        <f>'2023.'!Q42</f>
        <v>0</v>
      </c>
      <c r="H42" s="128">
        <f t="shared" si="4"/>
        <v>0.5</v>
      </c>
      <c r="I42" s="128">
        <f t="shared" si="5"/>
        <v>0.5</v>
      </c>
      <c r="J42" s="112">
        <f>ROUND('2023.'!J42*1.025,0)</f>
        <v>6</v>
      </c>
      <c r="K42" s="112">
        <f t="shared" si="19"/>
        <v>6</v>
      </c>
      <c r="L42" s="110">
        <v>6</v>
      </c>
      <c r="M42" s="112">
        <f t="shared" si="18"/>
        <v>6</v>
      </c>
      <c r="N42" s="37">
        <f>'2023.'!N42*1.025</f>
        <v>524.83446562499989</v>
      </c>
      <c r="O42" s="21">
        <f t="shared" si="6"/>
        <v>3149.0067937499994</v>
      </c>
      <c r="P42" s="128">
        <f t="shared" si="7"/>
        <v>0</v>
      </c>
      <c r="Q42" s="128">
        <f t="shared" si="7"/>
        <v>0</v>
      </c>
    </row>
    <row r="43" spans="1:17" ht="15" customHeight="1" x14ac:dyDescent="0.3">
      <c r="A43" s="16">
        <v>33</v>
      </c>
      <c r="B43" s="17" t="s">
        <v>408</v>
      </c>
      <c r="C43" s="26" t="s">
        <v>57</v>
      </c>
      <c r="D43" s="27" t="s">
        <v>6</v>
      </c>
      <c r="E43" s="27">
        <v>2</v>
      </c>
      <c r="F43" s="128">
        <f>'2023.'!P43</f>
        <v>23</v>
      </c>
      <c r="G43" s="128">
        <f>'2023.'!Q43</f>
        <v>27</v>
      </c>
      <c r="H43" s="128">
        <f t="shared" si="4"/>
        <v>19.416666666666668</v>
      </c>
      <c r="I43" s="128">
        <f t="shared" si="5"/>
        <v>22.833333333333332</v>
      </c>
      <c r="J43" s="112">
        <f>ROUND('2023.'!J43*1.025,0)</f>
        <v>233</v>
      </c>
      <c r="K43" s="112">
        <f t="shared" si="19"/>
        <v>274</v>
      </c>
      <c r="L43" s="110">
        <v>204</v>
      </c>
      <c r="M43" s="112">
        <f t="shared" si="18"/>
        <v>239</v>
      </c>
      <c r="N43" s="37">
        <f>'2023.'!N43*1.025</f>
        <v>203.34321562499994</v>
      </c>
      <c r="O43" s="21">
        <f t="shared" si="6"/>
        <v>48599.028534374986</v>
      </c>
      <c r="P43" s="128">
        <f t="shared" si="7"/>
        <v>29</v>
      </c>
      <c r="Q43" s="128">
        <f t="shared" si="7"/>
        <v>35</v>
      </c>
    </row>
    <row r="44" spans="1:17" ht="15" customHeight="1" x14ac:dyDescent="0.3">
      <c r="A44" s="16">
        <v>34</v>
      </c>
      <c r="B44" s="17" t="s">
        <v>408</v>
      </c>
      <c r="C44" s="26" t="s">
        <v>59</v>
      </c>
      <c r="D44" s="27" t="s">
        <v>6</v>
      </c>
      <c r="E44" s="27">
        <v>2</v>
      </c>
      <c r="F44" s="128">
        <f>'2023.'!P44</f>
        <v>1</v>
      </c>
      <c r="G44" s="128">
        <f>'2023.'!Q44</f>
        <v>1</v>
      </c>
      <c r="H44" s="128">
        <f t="shared" si="4"/>
        <v>1.0833333333333333</v>
      </c>
      <c r="I44" s="128">
        <f t="shared" si="5"/>
        <v>1.0833333333333333</v>
      </c>
      <c r="J44" s="112">
        <f>ROUND('2023.'!J44*1.025,0)</f>
        <v>13</v>
      </c>
      <c r="K44" s="112">
        <f t="shared" si="19"/>
        <v>13</v>
      </c>
      <c r="L44" s="110">
        <v>12</v>
      </c>
      <c r="M44" s="112">
        <f t="shared" si="18"/>
        <v>12</v>
      </c>
      <c r="N44" s="37">
        <f>'2023.'!N44*1.025</f>
        <v>180.75845531249996</v>
      </c>
      <c r="O44" s="21">
        <f t="shared" si="6"/>
        <v>2169.1014637499993</v>
      </c>
      <c r="P44" s="128">
        <f t="shared" si="7"/>
        <v>1</v>
      </c>
      <c r="Q44" s="128">
        <f t="shared" si="7"/>
        <v>1</v>
      </c>
    </row>
    <row r="45" spans="1:17" ht="15" customHeight="1" x14ac:dyDescent="0.3">
      <c r="A45" s="16">
        <v>35</v>
      </c>
      <c r="B45" s="17" t="s">
        <v>408</v>
      </c>
      <c r="C45" s="26" t="s">
        <v>60</v>
      </c>
      <c r="D45" s="27" t="s">
        <v>6</v>
      </c>
      <c r="E45" s="27">
        <v>2</v>
      </c>
      <c r="F45" s="128">
        <f>'2023.'!P45</f>
        <v>0</v>
      </c>
      <c r="G45" s="128">
        <f>'2023.'!Q45</f>
        <v>0</v>
      </c>
      <c r="H45" s="128">
        <f t="shared" si="4"/>
        <v>0.5</v>
      </c>
      <c r="I45" s="128">
        <f t="shared" si="5"/>
        <v>0.5</v>
      </c>
      <c r="J45" s="112">
        <f>ROUND('2023.'!J45*1.025,0)</f>
        <v>6</v>
      </c>
      <c r="K45" s="112">
        <f t="shared" si="19"/>
        <v>6</v>
      </c>
      <c r="L45" s="110">
        <v>6</v>
      </c>
      <c r="M45" s="112">
        <f t="shared" si="18"/>
        <v>6</v>
      </c>
      <c r="N45" s="37">
        <f>'2023.'!N45*1.025</f>
        <v>536.14024124999992</v>
      </c>
      <c r="O45" s="21">
        <f t="shared" si="6"/>
        <v>3216.8414474999995</v>
      </c>
      <c r="P45" s="128">
        <f t="shared" si="7"/>
        <v>0</v>
      </c>
      <c r="Q45" s="128">
        <f t="shared" si="7"/>
        <v>0</v>
      </c>
    </row>
    <row r="46" spans="1:17" ht="15" customHeight="1" x14ac:dyDescent="0.3">
      <c r="A46" s="16">
        <v>36</v>
      </c>
      <c r="B46" s="17" t="s">
        <v>408</v>
      </c>
      <c r="C46" s="26" t="s">
        <v>62</v>
      </c>
      <c r="D46" s="27" t="s">
        <v>6</v>
      </c>
      <c r="E46" s="27">
        <v>2</v>
      </c>
      <c r="F46" s="128">
        <f>'2023.'!P46</f>
        <v>1</v>
      </c>
      <c r="G46" s="128">
        <f>'2023.'!Q46</f>
        <v>1</v>
      </c>
      <c r="H46" s="127">
        <f t="shared" si="4"/>
        <v>0.33333333333333331</v>
      </c>
      <c r="I46" s="127">
        <f t="shared" si="5"/>
        <v>0.33333333333333331</v>
      </c>
      <c r="J46" s="112">
        <f>ROUND('2023.'!J46*1.025,0)</f>
        <v>4</v>
      </c>
      <c r="K46" s="112">
        <f t="shared" si="19"/>
        <v>4</v>
      </c>
      <c r="L46" s="110">
        <v>3</v>
      </c>
      <c r="M46" s="112">
        <f t="shared" si="18"/>
        <v>3</v>
      </c>
      <c r="N46" s="37">
        <f>'2023.'!N46*1.025</f>
        <v>225.94137140624994</v>
      </c>
      <c r="O46" s="21">
        <f t="shared" si="6"/>
        <v>677.82411421874986</v>
      </c>
      <c r="P46" s="128">
        <f t="shared" si="7"/>
        <v>1</v>
      </c>
      <c r="Q46" s="128">
        <f t="shared" si="7"/>
        <v>1</v>
      </c>
    </row>
    <row r="47" spans="1:17" ht="15" customHeight="1" x14ac:dyDescent="0.3">
      <c r="A47" s="16">
        <v>37</v>
      </c>
      <c r="B47" s="17" t="s">
        <v>408</v>
      </c>
      <c r="C47" s="26" t="s">
        <v>64</v>
      </c>
      <c r="D47" s="27" t="s">
        <v>6</v>
      </c>
      <c r="E47" s="27">
        <v>2</v>
      </c>
      <c r="F47" s="128">
        <f>'2023.'!P47</f>
        <v>1</v>
      </c>
      <c r="G47" s="128">
        <f>'2023.'!Q47</f>
        <v>1</v>
      </c>
      <c r="H47" s="128">
        <f t="shared" si="4"/>
        <v>0.58333333333333337</v>
      </c>
      <c r="I47" s="128">
        <f t="shared" si="5"/>
        <v>0.58333333333333337</v>
      </c>
      <c r="J47" s="112">
        <f>ROUND('2023.'!J47*1.025,0)</f>
        <v>7</v>
      </c>
      <c r="K47" s="112">
        <f t="shared" si="19"/>
        <v>7</v>
      </c>
      <c r="L47" s="110">
        <v>6</v>
      </c>
      <c r="M47" s="112">
        <f t="shared" si="18"/>
        <v>6</v>
      </c>
      <c r="N47" s="37">
        <f>'2023.'!N47*1.025</f>
        <v>361.50351515624993</v>
      </c>
      <c r="O47" s="21">
        <f t="shared" si="6"/>
        <v>2169.0210909374996</v>
      </c>
      <c r="P47" s="128">
        <f t="shared" si="7"/>
        <v>1</v>
      </c>
      <c r="Q47" s="128">
        <f t="shared" si="7"/>
        <v>1</v>
      </c>
    </row>
    <row r="48" spans="1:17" ht="15" customHeight="1" x14ac:dyDescent="0.3">
      <c r="A48" s="16">
        <v>38</v>
      </c>
      <c r="B48" s="17" t="s">
        <v>408</v>
      </c>
      <c r="C48" s="26" t="s">
        <v>66</v>
      </c>
      <c r="D48" s="27" t="s">
        <v>6</v>
      </c>
      <c r="E48" s="27">
        <v>2</v>
      </c>
      <c r="F48" s="128">
        <f>'2023.'!P48</f>
        <v>0</v>
      </c>
      <c r="G48" s="128">
        <f>'2023.'!Q48</f>
        <v>0</v>
      </c>
      <c r="H48" s="127">
        <f t="shared" si="4"/>
        <v>0.25</v>
      </c>
      <c r="I48" s="127">
        <f t="shared" si="5"/>
        <v>0.25</v>
      </c>
      <c r="J48" s="112">
        <f>ROUND('2023.'!J48*1.025,0)</f>
        <v>3</v>
      </c>
      <c r="K48" s="112">
        <f t="shared" si="19"/>
        <v>3</v>
      </c>
      <c r="L48" s="110">
        <v>3</v>
      </c>
      <c r="M48" s="112">
        <f t="shared" si="18"/>
        <v>3</v>
      </c>
      <c r="N48" s="37">
        <f>'2023.'!N48*1.025</f>
        <v>348.28218749999991</v>
      </c>
      <c r="O48" s="21">
        <f t="shared" si="6"/>
        <v>1044.8465624999997</v>
      </c>
      <c r="P48" s="128">
        <f t="shared" si="7"/>
        <v>0</v>
      </c>
      <c r="Q48" s="128">
        <f t="shared" si="7"/>
        <v>0</v>
      </c>
    </row>
    <row r="49" spans="1:17" ht="25.75" customHeight="1" x14ac:dyDescent="0.3">
      <c r="A49" s="16">
        <v>39</v>
      </c>
      <c r="B49" s="17" t="s">
        <v>408</v>
      </c>
      <c r="C49" s="26" t="s">
        <v>68</v>
      </c>
      <c r="D49" s="27" t="s">
        <v>6</v>
      </c>
      <c r="E49" s="27">
        <v>2</v>
      </c>
      <c r="F49" s="128">
        <f>'2023.'!P49</f>
        <v>0</v>
      </c>
      <c r="G49" s="128">
        <f>'2023.'!Q49</f>
        <v>0</v>
      </c>
      <c r="H49" s="127">
        <f t="shared" si="4"/>
        <v>0.25</v>
      </c>
      <c r="I49" s="127">
        <f t="shared" si="5"/>
        <v>0.25</v>
      </c>
      <c r="J49" s="112">
        <f>ROUND('2023.'!J49*1.025,0)</f>
        <v>3</v>
      </c>
      <c r="K49" s="112">
        <f t="shared" si="19"/>
        <v>3</v>
      </c>
      <c r="L49" s="110">
        <v>3</v>
      </c>
      <c r="M49" s="112">
        <f t="shared" si="18"/>
        <v>3</v>
      </c>
      <c r="N49" s="37">
        <f>'2023.'!N49*1.025</f>
        <v>392.54081624999992</v>
      </c>
      <c r="O49" s="21">
        <f t="shared" si="6"/>
        <v>1177.6224487499999</v>
      </c>
      <c r="P49" s="128">
        <f t="shared" si="7"/>
        <v>0</v>
      </c>
      <c r="Q49" s="128">
        <f t="shared" si="7"/>
        <v>0</v>
      </c>
    </row>
    <row r="50" spans="1:17" ht="18" customHeight="1" x14ac:dyDescent="0.3">
      <c r="A50" s="16">
        <v>40</v>
      </c>
      <c r="B50" s="17" t="s">
        <v>408</v>
      </c>
      <c r="C50" s="26" t="s">
        <v>70</v>
      </c>
      <c r="D50" s="27" t="s">
        <v>6</v>
      </c>
      <c r="E50" s="27">
        <v>2</v>
      </c>
      <c r="F50" s="128">
        <f>'2023.'!P50</f>
        <v>0</v>
      </c>
      <c r="G50" s="128">
        <f>'2023.'!Q50</f>
        <v>0</v>
      </c>
      <c r="H50" s="127">
        <f t="shared" si="4"/>
        <v>0.25</v>
      </c>
      <c r="I50" s="127">
        <f t="shared" si="5"/>
        <v>0.25</v>
      </c>
      <c r="J50" s="112">
        <f>ROUND('2023.'!J50*1.025,0)</f>
        <v>3</v>
      </c>
      <c r="K50" s="112">
        <f t="shared" si="19"/>
        <v>3</v>
      </c>
      <c r="L50" s="110">
        <v>3</v>
      </c>
      <c r="M50" s="112">
        <f t="shared" si="18"/>
        <v>3</v>
      </c>
      <c r="N50" s="37">
        <f>'2023.'!N50*1.025</f>
        <v>368.37539062499991</v>
      </c>
      <c r="O50" s="21">
        <f t="shared" si="6"/>
        <v>1105.1261718749997</v>
      </c>
      <c r="P50" s="128">
        <f t="shared" si="7"/>
        <v>0</v>
      </c>
      <c r="Q50" s="128">
        <f t="shared" si="7"/>
        <v>0</v>
      </c>
    </row>
    <row r="51" spans="1:17" ht="25.75" customHeight="1" x14ac:dyDescent="0.3">
      <c r="A51" s="16">
        <v>41</v>
      </c>
      <c r="B51" s="17" t="s">
        <v>408</v>
      </c>
      <c r="C51" s="26" t="s">
        <v>72</v>
      </c>
      <c r="D51" s="27" t="s">
        <v>6</v>
      </c>
      <c r="E51" s="27">
        <v>2</v>
      </c>
      <c r="F51" s="128">
        <f>'2023.'!P51</f>
        <v>0</v>
      </c>
      <c r="G51" s="128">
        <f>'2023.'!Q51</f>
        <v>0</v>
      </c>
      <c r="H51" s="127">
        <f t="shared" si="4"/>
        <v>0.25</v>
      </c>
      <c r="I51" s="127">
        <f t="shared" si="5"/>
        <v>0.25</v>
      </c>
      <c r="J51" s="112">
        <f>ROUND('2023.'!J51*1.025,0)</f>
        <v>3</v>
      </c>
      <c r="K51" s="112">
        <f t="shared" si="19"/>
        <v>3</v>
      </c>
      <c r="L51" s="110">
        <v>3</v>
      </c>
      <c r="M51" s="112">
        <f t="shared" si="18"/>
        <v>3</v>
      </c>
      <c r="N51" s="37">
        <f>'2023.'!N51*1.025</f>
        <v>602.79609374999995</v>
      </c>
      <c r="O51" s="21">
        <f t="shared" si="6"/>
        <v>1808.3882812499999</v>
      </c>
      <c r="P51" s="128">
        <f t="shared" si="7"/>
        <v>0</v>
      </c>
      <c r="Q51" s="128">
        <f t="shared" si="7"/>
        <v>0</v>
      </c>
    </row>
    <row r="52" spans="1:17" ht="15" customHeight="1" x14ac:dyDescent="0.3">
      <c r="A52" s="16">
        <v>42</v>
      </c>
      <c r="B52" s="17" t="s">
        <v>408</v>
      </c>
      <c r="C52" s="26" t="s">
        <v>74</v>
      </c>
      <c r="D52" s="27" t="s">
        <v>6</v>
      </c>
      <c r="E52" s="27">
        <v>2</v>
      </c>
      <c r="F52" s="128">
        <f>'2023.'!P52</f>
        <v>1</v>
      </c>
      <c r="G52" s="128">
        <f>'2023.'!Q52</f>
        <v>1</v>
      </c>
      <c r="H52" s="128">
        <f t="shared" si="4"/>
        <v>1.0833333333333333</v>
      </c>
      <c r="I52" s="128">
        <f t="shared" si="5"/>
        <v>1.0833333333333333</v>
      </c>
      <c r="J52" s="112">
        <f>ROUND('2023.'!J52*1.025,0)</f>
        <v>13</v>
      </c>
      <c r="K52" s="112">
        <f t="shared" si="19"/>
        <v>13</v>
      </c>
      <c r="L52" s="110">
        <v>12</v>
      </c>
      <c r="M52" s="112">
        <f t="shared" si="18"/>
        <v>12</v>
      </c>
      <c r="N52" s="37">
        <f>'2023.'!N52*1.025</f>
        <v>348.28218749999991</v>
      </c>
      <c r="O52" s="21">
        <f t="shared" si="6"/>
        <v>4179.3862499999987</v>
      </c>
      <c r="P52" s="128">
        <f t="shared" si="7"/>
        <v>1</v>
      </c>
      <c r="Q52" s="128">
        <f t="shared" si="7"/>
        <v>1</v>
      </c>
    </row>
    <row r="53" spans="1:17" ht="15" customHeight="1" x14ac:dyDescent="0.3">
      <c r="A53" s="16">
        <v>43</v>
      </c>
      <c r="B53" s="17" t="s">
        <v>408</v>
      </c>
      <c r="C53" s="26" t="s">
        <v>76</v>
      </c>
      <c r="D53" s="27" t="s">
        <v>6</v>
      </c>
      <c r="E53" s="27">
        <v>2</v>
      </c>
      <c r="F53" s="128">
        <f>'2023.'!P53</f>
        <v>3</v>
      </c>
      <c r="G53" s="128">
        <f>'2023.'!Q53</f>
        <v>3</v>
      </c>
      <c r="H53" s="128">
        <f t="shared" si="4"/>
        <v>2.0833333333333335</v>
      </c>
      <c r="I53" s="128">
        <f t="shared" si="5"/>
        <v>2.0833333333333335</v>
      </c>
      <c r="J53" s="112">
        <f>ROUND('2023.'!J53*1.025,0)</f>
        <v>25</v>
      </c>
      <c r="K53" s="112">
        <f t="shared" si="19"/>
        <v>25</v>
      </c>
      <c r="L53" s="110">
        <v>21</v>
      </c>
      <c r="M53" s="112">
        <f t="shared" si="18"/>
        <v>21</v>
      </c>
      <c r="N53" s="37">
        <f>'2023.'!N53*1.025</f>
        <v>411.50879999999989</v>
      </c>
      <c r="O53" s="21">
        <f t="shared" si="6"/>
        <v>8641.6847999999973</v>
      </c>
      <c r="P53" s="128">
        <f t="shared" si="7"/>
        <v>4</v>
      </c>
      <c r="Q53" s="128">
        <f t="shared" si="7"/>
        <v>4</v>
      </c>
    </row>
    <row r="54" spans="1:17" ht="27.65" customHeight="1" x14ac:dyDescent="0.3">
      <c r="A54" s="16">
        <v>44</v>
      </c>
      <c r="B54" s="17" t="s">
        <v>408</v>
      </c>
      <c r="C54" s="26" t="s">
        <v>78</v>
      </c>
      <c r="D54" s="27" t="s">
        <v>6</v>
      </c>
      <c r="E54" s="27">
        <v>2</v>
      </c>
      <c r="F54" s="128">
        <f>'2023.'!P54</f>
        <v>1</v>
      </c>
      <c r="G54" s="128">
        <f>'2023.'!Q54</f>
        <v>1</v>
      </c>
      <c r="H54" s="127">
        <f t="shared" si="4"/>
        <v>0.33333333333333331</v>
      </c>
      <c r="I54" s="127">
        <f t="shared" si="5"/>
        <v>0.33333333333333331</v>
      </c>
      <c r="J54" s="112">
        <f>ROUND('2023.'!J54*1.025,0)</f>
        <v>4</v>
      </c>
      <c r="K54" s="112">
        <f t="shared" si="19"/>
        <v>4</v>
      </c>
      <c r="L54" s="110">
        <v>3</v>
      </c>
      <c r="M54" s="112">
        <f t="shared" si="18"/>
        <v>3</v>
      </c>
      <c r="N54" s="37">
        <f>'2023.'!N54*1.025</f>
        <v>392.54081624999992</v>
      </c>
      <c r="O54" s="21">
        <f t="shared" si="6"/>
        <v>1177.6224487499999</v>
      </c>
      <c r="P54" s="128">
        <f t="shared" si="7"/>
        <v>1</v>
      </c>
      <c r="Q54" s="128">
        <f t="shared" si="7"/>
        <v>1</v>
      </c>
    </row>
    <row r="55" spans="1:17" ht="27.65" customHeight="1" x14ac:dyDescent="0.3">
      <c r="A55" s="16">
        <v>45</v>
      </c>
      <c r="B55" s="17" t="s">
        <v>408</v>
      </c>
      <c r="C55" s="26" t="s">
        <v>80</v>
      </c>
      <c r="D55" s="27" t="s">
        <v>6</v>
      </c>
      <c r="E55" s="27">
        <v>2</v>
      </c>
      <c r="F55" s="128">
        <f>'2023.'!P55</f>
        <v>0</v>
      </c>
      <c r="G55" s="128">
        <f>'2023.'!Q55</f>
        <v>0</v>
      </c>
      <c r="H55" s="127">
        <f t="shared" si="4"/>
        <v>0.25</v>
      </c>
      <c r="I55" s="127">
        <f t="shared" si="5"/>
        <v>0.25</v>
      </c>
      <c r="J55" s="112">
        <f>ROUND('2023.'!J55*1.025,0)</f>
        <v>3</v>
      </c>
      <c r="K55" s="112">
        <f t="shared" si="19"/>
        <v>3</v>
      </c>
      <c r="L55" s="110">
        <v>3</v>
      </c>
      <c r="M55" s="112">
        <f t="shared" si="18"/>
        <v>3</v>
      </c>
      <c r="N55" s="37">
        <f>'2023.'!N55*1.025</f>
        <v>200.93203124999997</v>
      </c>
      <c r="O55" s="21">
        <f t="shared" si="6"/>
        <v>602.79609374999995</v>
      </c>
      <c r="P55" s="128">
        <f t="shared" si="7"/>
        <v>0</v>
      </c>
      <c r="Q55" s="128">
        <f t="shared" si="7"/>
        <v>0</v>
      </c>
    </row>
    <row r="56" spans="1:17" ht="15" customHeight="1" x14ac:dyDescent="0.3">
      <c r="A56" s="16">
        <v>46</v>
      </c>
      <c r="B56" s="17" t="s">
        <v>408</v>
      </c>
      <c r="C56" s="26" t="s">
        <v>82</v>
      </c>
      <c r="D56" s="27" t="s">
        <v>6</v>
      </c>
      <c r="E56" s="27">
        <v>2</v>
      </c>
      <c r="F56" s="128">
        <f>'2023.'!P56</f>
        <v>0</v>
      </c>
      <c r="G56" s="128">
        <f>'2023.'!Q56</f>
        <v>0</v>
      </c>
      <c r="H56" s="127">
        <f t="shared" si="4"/>
        <v>0.25</v>
      </c>
      <c r="I56" s="127">
        <f t="shared" si="5"/>
        <v>0.25</v>
      </c>
      <c r="J56" s="112">
        <f>ROUND('2023.'!J56*1.025,0)</f>
        <v>3</v>
      </c>
      <c r="K56" s="112">
        <f t="shared" si="19"/>
        <v>3</v>
      </c>
      <c r="L56" s="110">
        <v>3</v>
      </c>
      <c r="M56" s="112">
        <f t="shared" si="18"/>
        <v>3</v>
      </c>
      <c r="N56" s="37">
        <f>'2023.'!N56*1.025</f>
        <v>368.37539062499991</v>
      </c>
      <c r="O56" s="21">
        <f t="shared" si="6"/>
        <v>1105.1261718749997</v>
      </c>
      <c r="P56" s="128">
        <f t="shared" si="7"/>
        <v>0</v>
      </c>
      <c r="Q56" s="128">
        <f t="shared" si="7"/>
        <v>0</v>
      </c>
    </row>
    <row r="57" spans="1:17" ht="15" customHeight="1" x14ac:dyDescent="0.3">
      <c r="A57" s="16">
        <v>47</v>
      </c>
      <c r="B57" s="17" t="s">
        <v>408</v>
      </c>
      <c r="C57" s="26" t="s">
        <v>84</v>
      </c>
      <c r="D57" s="27" t="s">
        <v>6</v>
      </c>
      <c r="E57" s="27">
        <v>2</v>
      </c>
      <c r="F57" s="128">
        <f>'2023.'!P57</f>
        <v>12</v>
      </c>
      <c r="G57" s="128">
        <f>'2023.'!Q57</f>
        <v>16</v>
      </c>
      <c r="H57" s="128">
        <f t="shared" si="4"/>
        <v>26.833333333333332</v>
      </c>
      <c r="I57" s="128">
        <f t="shared" si="5"/>
        <v>35.75</v>
      </c>
      <c r="J57" s="112">
        <f>ROUND('2023.'!J57*1.025,0)</f>
        <v>322</v>
      </c>
      <c r="K57" s="112">
        <f t="shared" si="19"/>
        <v>429</v>
      </c>
      <c r="L57" s="110">
        <v>302</v>
      </c>
      <c r="M57" s="112">
        <f t="shared" si="18"/>
        <v>403</v>
      </c>
      <c r="N57" s="37">
        <f>'2023.'!N57*1.025</f>
        <v>242.14988859374995</v>
      </c>
      <c r="O57" s="21">
        <f t="shared" si="6"/>
        <v>97586.405103281228</v>
      </c>
      <c r="P57" s="128">
        <f t="shared" si="7"/>
        <v>20</v>
      </c>
      <c r="Q57" s="128">
        <f t="shared" si="7"/>
        <v>26</v>
      </c>
    </row>
    <row r="58" spans="1:17" ht="15" customHeight="1" x14ac:dyDescent="0.3">
      <c r="A58" s="16">
        <v>48</v>
      </c>
      <c r="B58" s="17" t="s">
        <v>408</v>
      </c>
      <c r="C58" s="26" t="s">
        <v>86</v>
      </c>
      <c r="D58" s="27" t="s">
        <v>6</v>
      </c>
      <c r="E58" s="27">
        <v>2</v>
      </c>
      <c r="F58" s="128">
        <f>'2023.'!P58</f>
        <v>3</v>
      </c>
      <c r="G58" s="128">
        <f>'2023.'!Q58</f>
        <v>3</v>
      </c>
      <c r="H58" s="128">
        <f t="shared" si="4"/>
        <v>10.5</v>
      </c>
      <c r="I58" s="128">
        <f t="shared" si="5"/>
        <v>10.5</v>
      </c>
      <c r="J58" s="112">
        <f>ROUND('2023.'!J58*1.025,0)</f>
        <v>126</v>
      </c>
      <c r="K58" s="112">
        <f t="shared" si="19"/>
        <v>126</v>
      </c>
      <c r="L58" s="110">
        <v>120</v>
      </c>
      <c r="M58" s="112">
        <f t="shared" si="18"/>
        <v>120</v>
      </c>
      <c r="N58" s="37">
        <f>'2023.'!N58*1.025</f>
        <v>1432.6453828124997</v>
      </c>
      <c r="O58" s="21">
        <f t="shared" si="6"/>
        <v>171917.44593749996</v>
      </c>
      <c r="P58" s="128">
        <f t="shared" si="7"/>
        <v>6</v>
      </c>
      <c r="Q58" s="128">
        <f t="shared" si="7"/>
        <v>6</v>
      </c>
    </row>
    <row r="59" spans="1:17" ht="24.65" customHeight="1" x14ac:dyDescent="0.3">
      <c r="A59" s="16">
        <v>49</v>
      </c>
      <c r="B59" s="17" t="s">
        <v>408</v>
      </c>
      <c r="C59" s="26" t="s">
        <v>87</v>
      </c>
      <c r="D59" s="27" t="s">
        <v>6</v>
      </c>
      <c r="E59" s="27">
        <v>2</v>
      </c>
      <c r="F59" s="128">
        <f>'2023.'!P59</f>
        <v>2</v>
      </c>
      <c r="G59" s="128">
        <f>'2023.'!Q59</f>
        <v>2</v>
      </c>
      <c r="H59" s="128">
        <f t="shared" si="4"/>
        <v>5.333333333333333</v>
      </c>
      <c r="I59" s="128">
        <f t="shared" si="5"/>
        <v>5.333333333333333</v>
      </c>
      <c r="J59" s="112">
        <f>ROUND('2023.'!J59*1.025,0)</f>
        <v>64</v>
      </c>
      <c r="K59" s="112">
        <f t="shared" si="19"/>
        <v>64</v>
      </c>
      <c r="L59" s="110">
        <v>60</v>
      </c>
      <c r="M59" s="112">
        <f t="shared" si="18"/>
        <v>60</v>
      </c>
      <c r="N59" s="37">
        <f>'2023.'!N59*1.025</f>
        <v>322.52270109374996</v>
      </c>
      <c r="O59" s="21">
        <f t="shared" si="6"/>
        <v>19351.362065624999</v>
      </c>
      <c r="P59" s="128">
        <f t="shared" si="7"/>
        <v>4</v>
      </c>
      <c r="Q59" s="128">
        <f t="shared" si="7"/>
        <v>4</v>
      </c>
    </row>
    <row r="60" spans="1:17" ht="15" customHeight="1" x14ac:dyDescent="0.3">
      <c r="A60" s="16">
        <v>50</v>
      </c>
      <c r="B60" s="17" t="s">
        <v>408</v>
      </c>
      <c r="C60" s="26" t="s">
        <v>88</v>
      </c>
      <c r="D60" s="27" t="s">
        <v>6</v>
      </c>
      <c r="E60" s="27">
        <v>2</v>
      </c>
      <c r="F60" s="128">
        <f>'2023.'!P60</f>
        <v>2</v>
      </c>
      <c r="G60" s="128">
        <f>'2023.'!Q60</f>
        <v>2</v>
      </c>
      <c r="H60" s="128">
        <f t="shared" si="4"/>
        <v>5.333333333333333</v>
      </c>
      <c r="I60" s="128">
        <f t="shared" si="5"/>
        <v>5.333333333333333</v>
      </c>
      <c r="J60" s="112">
        <f>ROUND('2023.'!J60*1.025,0)</f>
        <v>64</v>
      </c>
      <c r="K60" s="112">
        <f t="shared" si="19"/>
        <v>64</v>
      </c>
      <c r="L60" s="110">
        <v>60</v>
      </c>
      <c r="M60" s="112">
        <f t="shared" si="18"/>
        <v>60</v>
      </c>
      <c r="N60" s="37">
        <f>'2023.'!N60*1.025</f>
        <v>597.53167453124991</v>
      </c>
      <c r="O60" s="21">
        <f t="shared" si="6"/>
        <v>35851.900471874993</v>
      </c>
      <c r="P60" s="128">
        <f t="shared" si="7"/>
        <v>4</v>
      </c>
      <c r="Q60" s="128">
        <f t="shared" si="7"/>
        <v>4</v>
      </c>
    </row>
    <row r="61" spans="1:17" ht="15" customHeight="1" x14ac:dyDescent="0.3">
      <c r="A61" s="16">
        <v>51</v>
      </c>
      <c r="B61" s="17" t="s">
        <v>408</v>
      </c>
      <c r="C61" s="26" t="s">
        <v>89</v>
      </c>
      <c r="D61" s="27" t="s">
        <v>6</v>
      </c>
      <c r="E61" s="27">
        <v>1</v>
      </c>
      <c r="F61" s="128">
        <f>'2023.'!P61</f>
        <v>0</v>
      </c>
      <c r="G61" s="128">
        <f>'2023.'!Q61</f>
        <v>0</v>
      </c>
      <c r="H61" s="128">
        <f t="shared" si="4"/>
        <v>0.5</v>
      </c>
      <c r="I61" s="128">
        <f t="shared" si="5"/>
        <v>0.5</v>
      </c>
      <c r="J61" s="112">
        <f>ROUND('2023.'!J61*1.025,0)</f>
        <v>6</v>
      </c>
      <c r="K61" s="112">
        <f t="shared" si="19"/>
        <v>6</v>
      </c>
      <c r="L61" s="110">
        <v>6</v>
      </c>
      <c r="M61" s="112">
        <f t="shared" si="18"/>
        <v>6</v>
      </c>
      <c r="N61" s="37">
        <f>'2023.'!N61*1.025</f>
        <v>157.39675781249997</v>
      </c>
      <c r="O61" s="21">
        <f t="shared" si="6"/>
        <v>944.38054687499982</v>
      </c>
      <c r="P61" s="128">
        <f t="shared" si="7"/>
        <v>0</v>
      </c>
      <c r="Q61" s="128">
        <f t="shared" si="7"/>
        <v>0</v>
      </c>
    </row>
    <row r="62" spans="1:17" ht="26.4" customHeight="1" x14ac:dyDescent="0.3">
      <c r="A62" s="16">
        <v>52</v>
      </c>
      <c r="B62" s="17" t="s">
        <v>408</v>
      </c>
      <c r="C62" s="26" t="s">
        <v>91</v>
      </c>
      <c r="D62" s="27" t="s">
        <v>6</v>
      </c>
      <c r="E62" s="27">
        <v>1</v>
      </c>
      <c r="F62" s="128">
        <f>'2023.'!P62</f>
        <v>1</v>
      </c>
      <c r="G62" s="128">
        <f>'2023.'!Q62</f>
        <v>1</v>
      </c>
      <c r="H62" s="127">
        <f t="shared" si="4"/>
        <v>0.33333333333333331</v>
      </c>
      <c r="I62" s="127">
        <f t="shared" si="5"/>
        <v>0.33333333333333331</v>
      </c>
      <c r="J62" s="112">
        <f>ROUND('2023.'!J62*1.025,0)</f>
        <v>4</v>
      </c>
      <c r="K62" s="112">
        <f t="shared" si="19"/>
        <v>4</v>
      </c>
      <c r="L62" s="110">
        <v>3</v>
      </c>
      <c r="M62" s="112">
        <f t="shared" si="18"/>
        <v>3</v>
      </c>
      <c r="N62" s="37">
        <f>'2023.'!N62*1.025</f>
        <v>370.1435924999999</v>
      </c>
      <c r="O62" s="21">
        <f t="shared" si="6"/>
        <v>1110.4307774999997</v>
      </c>
      <c r="P62" s="128">
        <f t="shared" si="7"/>
        <v>1</v>
      </c>
      <c r="Q62" s="128">
        <f t="shared" si="7"/>
        <v>1</v>
      </c>
    </row>
    <row r="63" spans="1:17" ht="26.4" customHeight="1" x14ac:dyDescent="0.3">
      <c r="A63" s="16">
        <v>53</v>
      </c>
      <c r="B63" s="17" t="s">
        <v>408</v>
      </c>
      <c r="C63" s="26" t="s">
        <v>93</v>
      </c>
      <c r="D63" s="27" t="s">
        <v>6</v>
      </c>
      <c r="E63" s="27">
        <v>1</v>
      </c>
      <c r="F63" s="128">
        <f>'2023.'!P63</f>
        <v>1</v>
      </c>
      <c r="G63" s="128">
        <f>'2023.'!Q63</f>
        <v>1</v>
      </c>
      <c r="H63" s="128">
        <f t="shared" si="4"/>
        <v>0.58333333333333337</v>
      </c>
      <c r="I63" s="128">
        <f t="shared" si="5"/>
        <v>0.58333333333333337</v>
      </c>
      <c r="J63" s="112">
        <f>ROUND('2023.'!J63*1.025,0)</f>
        <v>7</v>
      </c>
      <c r="K63" s="112">
        <f t="shared" si="19"/>
        <v>7</v>
      </c>
      <c r="L63" s="110">
        <v>6</v>
      </c>
      <c r="M63" s="112">
        <f t="shared" si="18"/>
        <v>6</v>
      </c>
      <c r="N63" s="37">
        <f>'2023.'!N63*1.025</f>
        <v>221.05202531249995</v>
      </c>
      <c r="O63" s="21">
        <f t="shared" si="6"/>
        <v>1326.3121518749997</v>
      </c>
      <c r="P63" s="128">
        <f t="shared" si="7"/>
        <v>1</v>
      </c>
      <c r="Q63" s="128">
        <f t="shared" si="7"/>
        <v>1</v>
      </c>
    </row>
    <row r="64" spans="1:17" ht="15" customHeight="1" x14ac:dyDescent="0.3">
      <c r="A64" s="16">
        <v>54</v>
      </c>
      <c r="B64" s="17" t="s">
        <v>408</v>
      </c>
      <c r="C64" s="26" t="s">
        <v>95</v>
      </c>
      <c r="D64" s="27" t="s">
        <v>6</v>
      </c>
      <c r="E64" s="27">
        <v>2</v>
      </c>
      <c r="F64" s="128">
        <f>'2023.'!P64</f>
        <v>5</v>
      </c>
      <c r="G64" s="128">
        <f>'2023.'!Q64</f>
        <v>5</v>
      </c>
      <c r="H64" s="128">
        <f t="shared" si="4"/>
        <v>4</v>
      </c>
      <c r="I64" s="128">
        <f t="shared" si="5"/>
        <v>4</v>
      </c>
      <c r="J64" s="112">
        <f>ROUND('2023.'!J64*1.025,0)</f>
        <v>48</v>
      </c>
      <c r="K64" s="112">
        <f t="shared" si="19"/>
        <v>48</v>
      </c>
      <c r="L64" s="110">
        <v>42</v>
      </c>
      <c r="M64" s="112">
        <f t="shared" si="18"/>
        <v>42</v>
      </c>
      <c r="N64" s="37">
        <f>'2023.'!N64*1.025</f>
        <v>242.14988859374995</v>
      </c>
      <c r="O64" s="21">
        <f t="shared" si="6"/>
        <v>10170.295320937497</v>
      </c>
      <c r="P64" s="128">
        <f t="shared" si="7"/>
        <v>6</v>
      </c>
      <c r="Q64" s="128">
        <f t="shared" si="7"/>
        <v>6</v>
      </c>
    </row>
    <row r="65" spans="1:17" ht="15" customHeight="1" x14ac:dyDescent="0.3">
      <c r="A65" s="16">
        <v>55</v>
      </c>
      <c r="B65" s="17" t="s">
        <v>408</v>
      </c>
      <c r="C65" s="26" t="s">
        <v>97</v>
      </c>
      <c r="D65" s="27" t="s">
        <v>6</v>
      </c>
      <c r="E65" s="27">
        <v>2</v>
      </c>
      <c r="F65" s="128">
        <f>'2023.'!P65</f>
        <v>8</v>
      </c>
      <c r="G65" s="128">
        <f>'2023.'!Q65</f>
        <v>13</v>
      </c>
      <c r="H65" s="128">
        <f t="shared" si="4"/>
        <v>6.833333333333333</v>
      </c>
      <c r="I65" s="128">
        <f t="shared" si="5"/>
        <v>11.083333333333334</v>
      </c>
      <c r="J65" s="112">
        <f>ROUND('2023.'!J65*1.025,0)</f>
        <v>82</v>
      </c>
      <c r="K65" s="112">
        <f t="shared" si="19"/>
        <v>133</v>
      </c>
      <c r="L65" s="110">
        <v>72</v>
      </c>
      <c r="M65" s="112">
        <f t="shared" si="18"/>
        <v>117</v>
      </c>
      <c r="N65" s="37">
        <f>'2023.'!N65*1.025</f>
        <v>363.23153062499995</v>
      </c>
      <c r="O65" s="21">
        <f t="shared" si="6"/>
        <v>42498.089083124993</v>
      </c>
      <c r="P65" s="128">
        <f t="shared" si="7"/>
        <v>10</v>
      </c>
      <c r="Q65" s="128">
        <f t="shared" si="7"/>
        <v>16</v>
      </c>
    </row>
    <row r="66" spans="1:17" ht="27.65" customHeight="1" x14ac:dyDescent="0.3">
      <c r="A66" s="16">
        <v>56</v>
      </c>
      <c r="B66" s="17" t="s">
        <v>408</v>
      </c>
      <c r="C66" s="26" t="s">
        <v>98</v>
      </c>
      <c r="D66" s="27" t="s">
        <v>6</v>
      </c>
      <c r="E66" s="27">
        <v>2</v>
      </c>
      <c r="F66" s="128">
        <f>'2023.'!P66</f>
        <v>0</v>
      </c>
      <c r="G66" s="128">
        <f>'2023.'!Q66</f>
        <v>0</v>
      </c>
      <c r="H66" s="127">
        <f t="shared" si="4"/>
        <v>0.25</v>
      </c>
      <c r="I66" s="127">
        <f t="shared" si="5"/>
        <v>0.25</v>
      </c>
      <c r="J66" s="112">
        <f>ROUND('2023.'!J66*1.025,0)</f>
        <v>3</v>
      </c>
      <c r="K66" s="112">
        <f t="shared" si="19"/>
        <v>3</v>
      </c>
      <c r="L66" s="110">
        <v>3</v>
      </c>
      <c r="M66" s="112">
        <f t="shared" si="18"/>
        <v>3</v>
      </c>
      <c r="N66" s="37">
        <f>'2023.'!N66*1.025</f>
        <v>443.6043431249999</v>
      </c>
      <c r="O66" s="21">
        <f t="shared" si="6"/>
        <v>1330.8130293749996</v>
      </c>
      <c r="P66" s="128">
        <f t="shared" si="7"/>
        <v>0</v>
      </c>
      <c r="Q66" s="128">
        <f t="shared" si="7"/>
        <v>0</v>
      </c>
    </row>
    <row r="67" spans="1:17" ht="15" customHeight="1" x14ac:dyDescent="0.3">
      <c r="A67" s="16">
        <v>57</v>
      </c>
      <c r="B67" s="17" t="s">
        <v>408</v>
      </c>
      <c r="C67" s="26" t="s">
        <v>99</v>
      </c>
      <c r="D67" s="27" t="s">
        <v>6</v>
      </c>
      <c r="E67" s="27">
        <v>2</v>
      </c>
      <c r="F67" s="128">
        <f>'2023.'!P67</f>
        <v>0</v>
      </c>
      <c r="G67" s="128">
        <f>'2023.'!Q67</f>
        <v>0</v>
      </c>
      <c r="H67" s="127">
        <f t="shared" si="4"/>
        <v>0.25</v>
      </c>
      <c r="I67" s="127">
        <f t="shared" si="5"/>
        <v>0.25</v>
      </c>
      <c r="J67" s="112">
        <f>ROUND('2023.'!J67*1.025,0)</f>
        <v>3</v>
      </c>
      <c r="K67" s="112">
        <f t="shared" si="19"/>
        <v>3</v>
      </c>
      <c r="L67" s="110">
        <v>3</v>
      </c>
      <c r="M67" s="112">
        <f t="shared" si="18"/>
        <v>3</v>
      </c>
      <c r="N67" s="37">
        <f>'2023.'!N67*1.025</f>
        <v>477.49487906249982</v>
      </c>
      <c r="O67" s="21">
        <f t="shared" si="6"/>
        <v>1432.4846371874994</v>
      </c>
      <c r="P67" s="128">
        <f t="shared" si="7"/>
        <v>0</v>
      </c>
      <c r="Q67" s="128">
        <f t="shared" si="7"/>
        <v>0</v>
      </c>
    </row>
    <row r="68" spans="1:17" ht="27" customHeight="1" x14ac:dyDescent="0.3">
      <c r="A68" s="16">
        <v>58</v>
      </c>
      <c r="B68" s="17" t="s">
        <v>408</v>
      </c>
      <c r="C68" s="26" t="s">
        <v>101</v>
      </c>
      <c r="D68" s="27" t="s">
        <v>6</v>
      </c>
      <c r="E68" s="27">
        <v>2</v>
      </c>
      <c r="F68" s="128">
        <f>'2023.'!P68</f>
        <v>1</v>
      </c>
      <c r="G68" s="128">
        <f>'2023.'!Q68</f>
        <v>2</v>
      </c>
      <c r="H68" s="128">
        <f t="shared" si="4"/>
        <v>1.0833333333333333</v>
      </c>
      <c r="I68" s="128">
        <f t="shared" si="5"/>
        <v>2.1666666666666665</v>
      </c>
      <c r="J68" s="112">
        <f>ROUND('2023.'!J68*1.025,0)</f>
        <v>13</v>
      </c>
      <c r="K68" s="112">
        <f t="shared" si="19"/>
        <v>26</v>
      </c>
      <c r="L68" s="110">
        <v>12</v>
      </c>
      <c r="M68" s="112">
        <f t="shared" si="18"/>
        <v>24</v>
      </c>
      <c r="N68" s="37">
        <f>'2023.'!N68*1.025</f>
        <v>387.43714265624993</v>
      </c>
      <c r="O68" s="21">
        <f t="shared" si="6"/>
        <v>9298.4914237499979</v>
      </c>
      <c r="P68" s="128">
        <f t="shared" si="7"/>
        <v>1</v>
      </c>
      <c r="Q68" s="128">
        <f t="shared" si="7"/>
        <v>2</v>
      </c>
    </row>
    <row r="69" spans="1:17" ht="27" customHeight="1" x14ac:dyDescent="0.3">
      <c r="A69" s="16">
        <v>59</v>
      </c>
      <c r="B69" s="17" t="s">
        <v>408</v>
      </c>
      <c r="C69" s="26" t="s">
        <v>413</v>
      </c>
      <c r="D69" s="27" t="s">
        <v>6</v>
      </c>
      <c r="E69" s="27">
        <v>2</v>
      </c>
      <c r="F69" s="128">
        <f>'2023.'!P69</f>
        <v>0</v>
      </c>
      <c r="G69" s="128">
        <f>'2023.'!Q69</f>
        <v>0</v>
      </c>
      <c r="H69" s="127">
        <f t="shared" si="4"/>
        <v>0.25</v>
      </c>
      <c r="I69" s="127">
        <f t="shared" si="5"/>
        <v>0.25</v>
      </c>
      <c r="J69" s="112">
        <f>ROUND('2023.'!J69*1.025,0)</f>
        <v>3</v>
      </c>
      <c r="K69" s="112">
        <f t="shared" si="19"/>
        <v>3</v>
      </c>
      <c r="L69" s="110">
        <v>3</v>
      </c>
      <c r="M69" s="112">
        <f t="shared" si="18"/>
        <v>3</v>
      </c>
      <c r="N69" s="37">
        <f>'2023.'!N69*1.025</f>
        <v>403.76621906249994</v>
      </c>
      <c r="O69" s="21">
        <f t="shared" si="6"/>
        <v>1211.2986571874999</v>
      </c>
      <c r="P69" s="128">
        <f t="shared" si="7"/>
        <v>0</v>
      </c>
      <c r="Q69" s="128">
        <f t="shared" si="7"/>
        <v>0</v>
      </c>
    </row>
    <row r="70" spans="1:17" ht="15" customHeight="1" x14ac:dyDescent="0.3">
      <c r="A70" s="16">
        <v>60</v>
      </c>
      <c r="B70" s="17" t="s">
        <v>408</v>
      </c>
      <c r="C70" s="26" t="s">
        <v>104</v>
      </c>
      <c r="D70" s="27" t="s">
        <v>6</v>
      </c>
      <c r="E70" s="27">
        <v>2</v>
      </c>
      <c r="F70" s="128">
        <f>'2023.'!P70</f>
        <v>0</v>
      </c>
      <c r="G70" s="128">
        <f>'2023.'!Q70</f>
        <v>0</v>
      </c>
      <c r="H70" s="127">
        <f t="shared" si="4"/>
        <v>0.25</v>
      </c>
      <c r="I70" s="127">
        <f t="shared" si="5"/>
        <v>0.25</v>
      </c>
      <c r="J70" s="112">
        <f>ROUND('2023.'!J70*1.025,0)</f>
        <v>3</v>
      </c>
      <c r="K70" s="112">
        <f t="shared" si="19"/>
        <v>3</v>
      </c>
      <c r="L70" s="110">
        <v>3</v>
      </c>
      <c r="M70" s="112">
        <f t="shared" si="18"/>
        <v>3</v>
      </c>
      <c r="N70" s="37">
        <f>'2023.'!N70*1.025</f>
        <v>403.76621906249994</v>
      </c>
      <c r="O70" s="21">
        <f t="shared" si="6"/>
        <v>1211.2986571874999</v>
      </c>
      <c r="P70" s="128">
        <f t="shared" si="7"/>
        <v>0</v>
      </c>
      <c r="Q70" s="128">
        <f t="shared" si="7"/>
        <v>0</v>
      </c>
    </row>
    <row r="71" spans="1:17" ht="15" customHeight="1" x14ac:dyDescent="0.3">
      <c r="A71" s="16">
        <v>61</v>
      </c>
      <c r="B71" s="17" t="s">
        <v>408</v>
      </c>
      <c r="C71" s="26" t="s">
        <v>106</v>
      </c>
      <c r="D71" s="27" t="s">
        <v>6</v>
      </c>
      <c r="E71" s="27">
        <v>2</v>
      </c>
      <c r="F71" s="128">
        <f>'2023.'!P71</f>
        <v>1</v>
      </c>
      <c r="G71" s="128">
        <f>'2023.'!Q71</f>
        <v>1</v>
      </c>
      <c r="H71" s="128">
        <f t="shared" si="4"/>
        <v>0.83333333333333337</v>
      </c>
      <c r="I71" s="128">
        <f t="shared" si="5"/>
        <v>0.83333333333333337</v>
      </c>
      <c r="J71" s="112">
        <f>ROUND('2023.'!J71*1.025,0)</f>
        <v>10</v>
      </c>
      <c r="K71" s="112">
        <f t="shared" si="19"/>
        <v>10</v>
      </c>
      <c r="L71" s="110">
        <v>9</v>
      </c>
      <c r="M71" s="112">
        <f t="shared" si="18"/>
        <v>9</v>
      </c>
      <c r="N71" s="37">
        <f>'2023.'!N71*1.025</f>
        <v>411.65615015624991</v>
      </c>
      <c r="O71" s="21">
        <f t="shared" si="6"/>
        <v>3704.9053514062493</v>
      </c>
      <c r="P71" s="128">
        <f t="shared" si="7"/>
        <v>1</v>
      </c>
      <c r="Q71" s="128">
        <f t="shared" si="7"/>
        <v>1</v>
      </c>
    </row>
    <row r="72" spans="1:17" ht="15" customHeight="1" x14ac:dyDescent="0.3">
      <c r="A72" s="16">
        <v>62</v>
      </c>
      <c r="B72" s="17" t="s">
        <v>408</v>
      </c>
      <c r="C72" s="26" t="s">
        <v>108</v>
      </c>
      <c r="D72" s="27" t="s">
        <v>6</v>
      </c>
      <c r="E72" s="27">
        <v>2</v>
      </c>
      <c r="F72" s="128">
        <f>'2023.'!P72</f>
        <v>5</v>
      </c>
      <c r="G72" s="128">
        <f>'2023.'!Q72</f>
        <v>10</v>
      </c>
      <c r="H72" s="128">
        <f t="shared" ref="H72:H135" si="20">J72/12</f>
        <v>4.25</v>
      </c>
      <c r="I72" s="128">
        <f t="shared" ref="I72:I135" si="21">K72/12</f>
        <v>8.5</v>
      </c>
      <c r="J72" s="112">
        <f>ROUND('2023.'!J72*1.025,0)</f>
        <v>51</v>
      </c>
      <c r="K72" s="112">
        <f t="shared" si="19"/>
        <v>102</v>
      </c>
      <c r="L72" s="110">
        <v>45</v>
      </c>
      <c r="M72" s="112">
        <f t="shared" si="18"/>
        <v>90</v>
      </c>
      <c r="N72" s="37">
        <f>'2023.'!N72*1.025</f>
        <v>484.2997771874999</v>
      </c>
      <c r="O72" s="21">
        <f t="shared" ref="O72:O135" si="22">N72*M72</f>
        <v>43586.979946874992</v>
      </c>
      <c r="P72" s="128">
        <f t="shared" ref="P72:Q135" si="23">J72-L72</f>
        <v>6</v>
      </c>
      <c r="Q72" s="128">
        <f t="shared" si="23"/>
        <v>12</v>
      </c>
    </row>
    <row r="73" spans="1:17" ht="30.65" customHeight="1" x14ac:dyDescent="0.3">
      <c r="A73" s="16">
        <v>63</v>
      </c>
      <c r="B73" s="17" t="s">
        <v>408</v>
      </c>
      <c r="C73" s="26" t="s">
        <v>109</v>
      </c>
      <c r="D73" s="27" t="s">
        <v>6</v>
      </c>
      <c r="E73" s="27">
        <v>2</v>
      </c>
      <c r="F73" s="128">
        <f>'2023.'!P73</f>
        <v>0</v>
      </c>
      <c r="G73" s="128">
        <f>'2023.'!Q73</f>
        <v>0</v>
      </c>
      <c r="H73" s="127">
        <f t="shared" si="20"/>
        <v>0.25</v>
      </c>
      <c r="I73" s="127">
        <f t="shared" si="21"/>
        <v>0.25</v>
      </c>
      <c r="J73" s="112">
        <f>ROUND('2023.'!J73*1.025,0)</f>
        <v>3</v>
      </c>
      <c r="K73" s="112">
        <f t="shared" si="19"/>
        <v>3</v>
      </c>
      <c r="L73" s="110">
        <v>3</v>
      </c>
      <c r="M73" s="112">
        <f t="shared" si="18"/>
        <v>3</v>
      </c>
      <c r="N73" s="37">
        <f>'2023.'!N73*1.025</f>
        <v>564.67258968749991</v>
      </c>
      <c r="O73" s="21">
        <f t="shared" si="22"/>
        <v>1694.0177690624996</v>
      </c>
      <c r="P73" s="128">
        <f t="shared" si="23"/>
        <v>0</v>
      </c>
      <c r="Q73" s="128">
        <f t="shared" si="23"/>
        <v>0</v>
      </c>
    </row>
    <row r="74" spans="1:17" ht="15" customHeight="1" x14ac:dyDescent="0.3">
      <c r="A74" s="16">
        <v>64</v>
      </c>
      <c r="B74" s="17" t="s">
        <v>408</v>
      </c>
      <c r="C74" s="26" t="s">
        <v>110</v>
      </c>
      <c r="D74" s="27" t="s">
        <v>6</v>
      </c>
      <c r="E74" s="27">
        <v>2</v>
      </c>
      <c r="F74" s="128">
        <f>'2023.'!P74</f>
        <v>0</v>
      </c>
      <c r="G74" s="128">
        <f>'2023.'!Q74</f>
        <v>0</v>
      </c>
      <c r="H74" s="127">
        <f t="shared" si="20"/>
        <v>0.25</v>
      </c>
      <c r="I74" s="127">
        <f t="shared" si="21"/>
        <v>0.25</v>
      </c>
      <c r="J74" s="112">
        <f>ROUND('2023.'!J74*1.025,0)</f>
        <v>3</v>
      </c>
      <c r="K74" s="112">
        <f t="shared" si="19"/>
        <v>3</v>
      </c>
      <c r="L74" s="110">
        <v>3</v>
      </c>
      <c r="M74" s="112">
        <f t="shared" si="18"/>
        <v>3</v>
      </c>
      <c r="N74" s="37">
        <f>'2023.'!N74*1.025</f>
        <v>839.68156312499991</v>
      </c>
      <c r="O74" s="21">
        <f t="shared" si="22"/>
        <v>2519.0446893749995</v>
      </c>
      <c r="P74" s="128">
        <f t="shared" si="23"/>
        <v>0</v>
      </c>
      <c r="Q74" s="128">
        <f t="shared" si="23"/>
        <v>0</v>
      </c>
    </row>
    <row r="75" spans="1:17" ht="15" customHeight="1" x14ac:dyDescent="0.3">
      <c r="A75" s="16">
        <v>65</v>
      </c>
      <c r="B75" s="17" t="s">
        <v>408</v>
      </c>
      <c r="C75" s="26" t="s">
        <v>111</v>
      </c>
      <c r="D75" s="27" t="s">
        <v>6</v>
      </c>
      <c r="E75" s="27">
        <v>2</v>
      </c>
      <c r="F75" s="128">
        <f>'2023.'!P75</f>
        <v>0</v>
      </c>
      <c r="G75" s="128">
        <f>'2023.'!Q75</f>
        <v>0</v>
      </c>
      <c r="H75" s="127">
        <f t="shared" si="20"/>
        <v>0.25</v>
      </c>
      <c r="I75" s="127">
        <f t="shared" si="21"/>
        <v>0.25</v>
      </c>
      <c r="J75" s="112">
        <f>ROUND('2023.'!J75*1.025,0)</f>
        <v>3</v>
      </c>
      <c r="K75" s="112">
        <f t="shared" si="19"/>
        <v>3</v>
      </c>
      <c r="L75" s="110">
        <v>3</v>
      </c>
      <c r="M75" s="112">
        <f t="shared" si="18"/>
        <v>3</v>
      </c>
      <c r="N75" s="37">
        <f>'2023.'!N75*1.025</f>
        <v>8426.3928262499976</v>
      </c>
      <c r="O75" s="21">
        <f t="shared" si="22"/>
        <v>25279.178478749993</v>
      </c>
      <c r="P75" s="128">
        <f t="shared" si="23"/>
        <v>0</v>
      </c>
      <c r="Q75" s="128">
        <f t="shared" si="23"/>
        <v>0</v>
      </c>
    </row>
    <row r="76" spans="1:17" ht="15" customHeight="1" x14ac:dyDescent="0.3">
      <c r="A76" s="16">
        <v>66</v>
      </c>
      <c r="B76" s="17" t="s">
        <v>408</v>
      </c>
      <c r="C76" s="26" t="s">
        <v>113</v>
      </c>
      <c r="D76" s="27" t="s">
        <v>6</v>
      </c>
      <c r="E76" s="27">
        <v>2</v>
      </c>
      <c r="F76" s="128">
        <f>'2023.'!P76</f>
        <v>3</v>
      </c>
      <c r="G76" s="128">
        <f>'2023.'!Q76</f>
        <v>3</v>
      </c>
      <c r="H76" s="128">
        <f t="shared" si="20"/>
        <v>2.5833333333333335</v>
      </c>
      <c r="I76" s="128">
        <f t="shared" si="21"/>
        <v>2.5833333333333335</v>
      </c>
      <c r="J76" s="112">
        <f>ROUND('2023.'!J76*1.025,0)</f>
        <v>31</v>
      </c>
      <c r="K76" s="112">
        <f t="shared" si="19"/>
        <v>31</v>
      </c>
      <c r="L76" s="110">
        <v>27</v>
      </c>
      <c r="M76" s="112">
        <f t="shared" si="18"/>
        <v>27</v>
      </c>
      <c r="N76" s="37">
        <f>'2023.'!N76*1.025</f>
        <v>119.43399937499997</v>
      </c>
      <c r="O76" s="21">
        <f t="shared" si="22"/>
        <v>3224.7179831249991</v>
      </c>
      <c r="P76" s="128">
        <f t="shared" si="23"/>
        <v>4</v>
      </c>
      <c r="Q76" s="128">
        <f t="shared" si="23"/>
        <v>4</v>
      </c>
    </row>
    <row r="77" spans="1:17" ht="15" customHeight="1" x14ac:dyDescent="0.3">
      <c r="A77" s="16">
        <v>67</v>
      </c>
      <c r="B77" s="17" t="s">
        <v>408</v>
      </c>
      <c r="C77" s="26" t="s">
        <v>115</v>
      </c>
      <c r="D77" s="27" t="s">
        <v>6</v>
      </c>
      <c r="E77" s="27">
        <v>2</v>
      </c>
      <c r="F77" s="128">
        <f>'2023.'!P77</f>
        <v>1</v>
      </c>
      <c r="G77" s="128">
        <f>'2023.'!Q77</f>
        <v>2</v>
      </c>
      <c r="H77" s="128">
        <f t="shared" si="20"/>
        <v>1.0833333333333333</v>
      </c>
      <c r="I77" s="128">
        <f t="shared" si="21"/>
        <v>2.1666666666666665</v>
      </c>
      <c r="J77" s="112">
        <f>ROUND('2023.'!J77*1.025,0)</f>
        <v>13</v>
      </c>
      <c r="K77" s="112">
        <f t="shared" si="19"/>
        <v>26</v>
      </c>
      <c r="L77" s="110">
        <v>12</v>
      </c>
      <c r="M77" s="112">
        <f t="shared" si="18"/>
        <v>24</v>
      </c>
      <c r="N77" s="37">
        <f>'2023.'!N77*1.025</f>
        <v>361.67765624999998</v>
      </c>
      <c r="O77" s="21">
        <f t="shared" si="22"/>
        <v>8680.2637500000001</v>
      </c>
      <c r="P77" s="128">
        <f t="shared" si="23"/>
        <v>1</v>
      </c>
      <c r="Q77" s="128">
        <f t="shared" si="23"/>
        <v>2</v>
      </c>
    </row>
    <row r="78" spans="1:17" ht="24.65" customHeight="1" x14ac:dyDescent="0.3">
      <c r="A78" s="16">
        <v>68</v>
      </c>
      <c r="B78" s="17" t="s">
        <v>408</v>
      </c>
      <c r="C78" s="26" t="s">
        <v>117</v>
      </c>
      <c r="D78" s="27" t="s">
        <v>6</v>
      </c>
      <c r="E78" s="27">
        <v>2</v>
      </c>
      <c r="F78" s="128">
        <f>'2023.'!P78</f>
        <v>1</v>
      </c>
      <c r="G78" s="128">
        <f>'2023.'!Q78</f>
        <v>1</v>
      </c>
      <c r="H78" s="127">
        <f t="shared" si="20"/>
        <v>0.33333333333333331</v>
      </c>
      <c r="I78" s="127">
        <f t="shared" si="21"/>
        <v>0.33333333333333331</v>
      </c>
      <c r="J78" s="112">
        <f>ROUND('2023.'!J78*1.025,0)</f>
        <v>4</v>
      </c>
      <c r="K78" s="112">
        <f t="shared" si="19"/>
        <v>4</v>
      </c>
      <c r="L78" s="110">
        <v>3</v>
      </c>
      <c r="M78" s="112">
        <f t="shared" si="18"/>
        <v>3</v>
      </c>
      <c r="N78" s="37">
        <f>'2023.'!N78*1.025</f>
        <v>393.8267812499999</v>
      </c>
      <c r="O78" s="21">
        <f t="shared" si="22"/>
        <v>1181.4803437499997</v>
      </c>
      <c r="P78" s="128">
        <f t="shared" si="23"/>
        <v>1</v>
      </c>
      <c r="Q78" s="128">
        <f t="shared" si="23"/>
        <v>1</v>
      </c>
    </row>
    <row r="79" spans="1:17" ht="24.65" customHeight="1" x14ac:dyDescent="0.3">
      <c r="A79" s="16">
        <v>69</v>
      </c>
      <c r="B79" s="17" t="s">
        <v>408</v>
      </c>
      <c r="C79" s="26" t="s">
        <v>119</v>
      </c>
      <c r="D79" s="27" t="s">
        <v>6</v>
      </c>
      <c r="E79" s="27">
        <v>2</v>
      </c>
      <c r="F79" s="128">
        <f>'2023.'!P79</f>
        <v>1</v>
      </c>
      <c r="G79" s="128">
        <f>'2023.'!Q79</f>
        <v>1</v>
      </c>
      <c r="H79" s="128">
        <f t="shared" si="20"/>
        <v>0.58333333333333337</v>
      </c>
      <c r="I79" s="128">
        <f t="shared" si="21"/>
        <v>0.58333333333333337</v>
      </c>
      <c r="J79" s="112">
        <f>ROUND('2023.'!J79*1.025,0)</f>
        <v>7</v>
      </c>
      <c r="K79" s="112">
        <f t="shared" si="19"/>
        <v>7</v>
      </c>
      <c r="L79" s="110">
        <v>6</v>
      </c>
      <c r="M79" s="112">
        <f t="shared" si="18"/>
        <v>6</v>
      </c>
      <c r="N79" s="37">
        <f>'2023.'!N79*1.025</f>
        <v>393.8267812499999</v>
      </c>
      <c r="O79" s="21">
        <f t="shared" si="22"/>
        <v>2362.9606874999995</v>
      </c>
      <c r="P79" s="128">
        <f t="shared" si="23"/>
        <v>1</v>
      </c>
      <c r="Q79" s="128">
        <f t="shared" si="23"/>
        <v>1</v>
      </c>
    </row>
    <row r="80" spans="1:17" ht="15" customHeight="1" x14ac:dyDescent="0.3">
      <c r="A80" s="16">
        <v>70</v>
      </c>
      <c r="B80" s="17" t="s">
        <v>408</v>
      </c>
      <c r="C80" s="26" t="s">
        <v>120</v>
      </c>
      <c r="D80" s="27" t="s">
        <v>6</v>
      </c>
      <c r="E80" s="27">
        <v>2</v>
      </c>
      <c r="F80" s="128">
        <f>'2023.'!P80</f>
        <v>0</v>
      </c>
      <c r="G80" s="128">
        <f>'2023.'!Q80</f>
        <v>0</v>
      </c>
      <c r="H80" s="127">
        <f t="shared" si="20"/>
        <v>0.25</v>
      </c>
      <c r="I80" s="127">
        <f t="shared" si="21"/>
        <v>0.25</v>
      </c>
      <c r="J80" s="112">
        <f>ROUND('2023.'!J80*1.025,0)</f>
        <v>3</v>
      </c>
      <c r="K80" s="112">
        <f t="shared" si="19"/>
        <v>3</v>
      </c>
      <c r="L80" s="110">
        <v>3</v>
      </c>
      <c r="M80" s="112">
        <f t="shared" si="18"/>
        <v>3</v>
      </c>
      <c r="N80" s="37">
        <f>'2023.'!N80*1.025</f>
        <v>1004.6601562499997</v>
      </c>
      <c r="O80" s="21">
        <f t="shared" si="22"/>
        <v>3013.9804687499991</v>
      </c>
      <c r="P80" s="128">
        <f t="shared" si="23"/>
        <v>0</v>
      </c>
      <c r="Q80" s="128">
        <f t="shared" si="23"/>
        <v>0</v>
      </c>
    </row>
    <row r="81" spans="1:17" ht="15" customHeight="1" x14ac:dyDescent="0.3">
      <c r="A81" s="16">
        <v>71</v>
      </c>
      <c r="B81" s="17" t="s">
        <v>408</v>
      </c>
      <c r="C81" s="26" t="s">
        <v>122</v>
      </c>
      <c r="D81" s="27" t="s">
        <v>6</v>
      </c>
      <c r="E81" s="27">
        <v>2</v>
      </c>
      <c r="F81" s="128">
        <f>'2023.'!P81</f>
        <v>1</v>
      </c>
      <c r="G81" s="128">
        <f>'2023.'!Q81</f>
        <v>1</v>
      </c>
      <c r="H81" s="128">
        <f t="shared" si="20"/>
        <v>1.0833333333333333</v>
      </c>
      <c r="I81" s="128">
        <f t="shared" si="21"/>
        <v>1.0833333333333333</v>
      </c>
      <c r="J81" s="112">
        <f>ROUND('2023.'!J81*1.025,0)</f>
        <v>13</v>
      </c>
      <c r="K81" s="112">
        <f t="shared" si="19"/>
        <v>13</v>
      </c>
      <c r="L81" s="110">
        <v>12</v>
      </c>
      <c r="M81" s="112">
        <f t="shared" si="18"/>
        <v>12</v>
      </c>
      <c r="N81" s="37">
        <f>'2023.'!N81*1.025</f>
        <v>393.8267812499999</v>
      </c>
      <c r="O81" s="21">
        <f t="shared" si="22"/>
        <v>4725.921374999999</v>
      </c>
      <c r="P81" s="128">
        <f t="shared" si="23"/>
        <v>1</v>
      </c>
      <c r="Q81" s="128">
        <f t="shared" si="23"/>
        <v>1</v>
      </c>
    </row>
    <row r="82" spans="1:17" ht="15" customHeight="1" x14ac:dyDescent="0.3">
      <c r="A82" s="16">
        <v>72</v>
      </c>
      <c r="B82" s="17" t="s">
        <v>408</v>
      </c>
      <c r="C82" s="26" t="s">
        <v>124</v>
      </c>
      <c r="D82" s="27" t="s">
        <v>6</v>
      </c>
      <c r="E82" s="27">
        <v>2</v>
      </c>
      <c r="F82" s="128">
        <f>'2023.'!P82</f>
        <v>0</v>
      </c>
      <c r="G82" s="128">
        <f>'2023.'!Q82</f>
        <v>0</v>
      </c>
      <c r="H82" s="127">
        <f t="shared" si="20"/>
        <v>0.25</v>
      </c>
      <c r="I82" s="127">
        <f t="shared" si="21"/>
        <v>0.25</v>
      </c>
      <c r="J82" s="112">
        <f>ROUND('2023.'!J82*1.025,0)</f>
        <v>3</v>
      </c>
      <c r="K82" s="112">
        <f t="shared" si="19"/>
        <v>3</v>
      </c>
      <c r="L82" s="110">
        <v>3</v>
      </c>
      <c r="M82" s="112">
        <f t="shared" ref="M82:M145" si="24">ROUND(IF(F82=0,L82,L82*(G82/F82)),0)</f>
        <v>3</v>
      </c>
      <c r="N82" s="37">
        <f>'2023.'!N82*1.025</f>
        <v>442.05046874999988</v>
      </c>
      <c r="O82" s="21">
        <f t="shared" si="22"/>
        <v>1326.1514062499996</v>
      </c>
      <c r="P82" s="128">
        <f t="shared" si="23"/>
        <v>0</v>
      </c>
      <c r="Q82" s="128">
        <f t="shared" si="23"/>
        <v>0</v>
      </c>
    </row>
    <row r="83" spans="1:17" ht="15" customHeight="1" x14ac:dyDescent="0.3">
      <c r="A83" s="16">
        <v>73</v>
      </c>
      <c r="B83" s="17" t="s">
        <v>408</v>
      </c>
      <c r="C83" s="26" t="s">
        <v>126</v>
      </c>
      <c r="D83" s="27" t="s">
        <v>6</v>
      </c>
      <c r="E83" s="27">
        <v>2</v>
      </c>
      <c r="F83" s="128">
        <f>'2023.'!P83</f>
        <v>0</v>
      </c>
      <c r="G83" s="128">
        <f>'2023.'!Q83</f>
        <v>0</v>
      </c>
      <c r="H83" s="127">
        <f t="shared" si="20"/>
        <v>0.25</v>
      </c>
      <c r="I83" s="127">
        <f t="shared" si="21"/>
        <v>0.25</v>
      </c>
      <c r="J83" s="112">
        <f>ROUND('2023.'!J83*1.025,0)</f>
        <v>3</v>
      </c>
      <c r="K83" s="112">
        <f t="shared" ref="K83:K87" si="25">ROUND(IF(F83=0,J83,J83*(G83/F83)),0)</f>
        <v>3</v>
      </c>
      <c r="L83" s="110">
        <v>3</v>
      </c>
      <c r="M83" s="112">
        <f t="shared" si="24"/>
        <v>3</v>
      </c>
      <c r="N83" s="37">
        <f>'2023.'!N83*1.025</f>
        <v>406.90075874999991</v>
      </c>
      <c r="O83" s="21">
        <f t="shared" si="22"/>
        <v>1220.7022762499996</v>
      </c>
      <c r="P83" s="128">
        <f t="shared" si="23"/>
        <v>0</v>
      </c>
      <c r="Q83" s="128">
        <f t="shared" si="23"/>
        <v>0</v>
      </c>
    </row>
    <row r="84" spans="1:17" ht="15" customHeight="1" x14ac:dyDescent="0.3">
      <c r="A84" s="16">
        <v>74</v>
      </c>
      <c r="B84" s="17" t="s">
        <v>408</v>
      </c>
      <c r="C84" s="26" t="s">
        <v>128</v>
      </c>
      <c r="D84" s="27" t="s">
        <v>6</v>
      </c>
      <c r="E84" s="27">
        <v>2</v>
      </c>
      <c r="F84" s="128">
        <f>'2023.'!P84</f>
        <v>2</v>
      </c>
      <c r="G84" s="128">
        <f>'2023.'!Q84</f>
        <v>2</v>
      </c>
      <c r="H84" s="128">
        <f t="shared" si="20"/>
        <v>1.4166666666666667</v>
      </c>
      <c r="I84" s="128">
        <f t="shared" si="21"/>
        <v>1.4166666666666667</v>
      </c>
      <c r="J84" s="112">
        <f>ROUND('2023.'!J84*1.025,0)</f>
        <v>17</v>
      </c>
      <c r="K84" s="112">
        <f t="shared" si="25"/>
        <v>17</v>
      </c>
      <c r="L84" s="110">
        <v>15</v>
      </c>
      <c r="M84" s="112">
        <f t="shared" si="24"/>
        <v>15</v>
      </c>
      <c r="N84" s="37">
        <f>'2023.'!N84*1.025</f>
        <v>736.75078124999982</v>
      </c>
      <c r="O84" s="21">
        <f t="shared" si="22"/>
        <v>11051.261718749996</v>
      </c>
      <c r="P84" s="128">
        <f t="shared" si="23"/>
        <v>2</v>
      </c>
      <c r="Q84" s="128">
        <f t="shared" si="23"/>
        <v>2</v>
      </c>
    </row>
    <row r="85" spans="1:17" ht="15" customHeight="1" x14ac:dyDescent="0.3">
      <c r="A85" s="16">
        <v>75</v>
      </c>
      <c r="B85" s="17" t="s">
        <v>408</v>
      </c>
      <c r="C85" s="26" t="s">
        <v>130</v>
      </c>
      <c r="D85" s="27" t="s">
        <v>6</v>
      </c>
      <c r="E85" s="27">
        <v>2</v>
      </c>
      <c r="F85" s="128">
        <f>'2023.'!P85</f>
        <v>0</v>
      </c>
      <c r="G85" s="128">
        <f>'2023.'!Q85</f>
        <v>0</v>
      </c>
      <c r="H85" s="127">
        <f t="shared" si="20"/>
        <v>0.25</v>
      </c>
      <c r="I85" s="127">
        <f t="shared" si="21"/>
        <v>0.25</v>
      </c>
      <c r="J85" s="112">
        <f>ROUND('2023.'!J85*1.025,0)</f>
        <v>3</v>
      </c>
      <c r="K85" s="112">
        <f t="shared" si="25"/>
        <v>3</v>
      </c>
      <c r="L85" s="110">
        <v>3</v>
      </c>
      <c r="M85" s="112">
        <f t="shared" si="24"/>
        <v>3</v>
      </c>
      <c r="N85" s="37">
        <f>'2023.'!N85*1.025</f>
        <v>602.79609374999995</v>
      </c>
      <c r="O85" s="21">
        <f t="shared" si="22"/>
        <v>1808.3882812499999</v>
      </c>
      <c r="P85" s="128">
        <f t="shared" si="23"/>
        <v>0</v>
      </c>
      <c r="Q85" s="128">
        <f t="shared" si="23"/>
        <v>0</v>
      </c>
    </row>
    <row r="86" spans="1:17" ht="15" customHeight="1" x14ac:dyDescent="0.3">
      <c r="A86" s="16">
        <v>76</v>
      </c>
      <c r="B86" s="17" t="s">
        <v>408</v>
      </c>
      <c r="C86" s="26" t="s">
        <v>132</v>
      </c>
      <c r="D86" s="27" t="s">
        <v>6</v>
      </c>
      <c r="E86" s="27">
        <v>2</v>
      </c>
      <c r="F86" s="128">
        <f>'2023.'!P86</f>
        <v>1</v>
      </c>
      <c r="G86" s="128">
        <f>'2023.'!Q86</f>
        <v>3</v>
      </c>
      <c r="H86" s="128">
        <f t="shared" si="20"/>
        <v>1.5833333333333333</v>
      </c>
      <c r="I86" s="128">
        <f t="shared" si="21"/>
        <v>4.75</v>
      </c>
      <c r="J86" s="112">
        <f>ROUND('2023.'!J86*1.025,0)</f>
        <v>19</v>
      </c>
      <c r="K86" s="112">
        <f t="shared" si="25"/>
        <v>57</v>
      </c>
      <c r="L86" s="110">
        <v>18</v>
      </c>
      <c r="M86" s="112">
        <f t="shared" si="24"/>
        <v>54</v>
      </c>
      <c r="N86" s="37">
        <f>'2023.'!N86*1.025</f>
        <v>760.19285156249987</v>
      </c>
      <c r="O86" s="21">
        <f t="shared" si="22"/>
        <v>41050.413984374994</v>
      </c>
      <c r="P86" s="128">
        <f t="shared" si="23"/>
        <v>1</v>
      </c>
      <c r="Q86" s="128">
        <f t="shared" si="23"/>
        <v>3</v>
      </c>
    </row>
    <row r="87" spans="1:17" ht="15" customHeight="1" x14ac:dyDescent="0.3">
      <c r="A87" s="16">
        <v>77</v>
      </c>
      <c r="B87" s="17" t="s">
        <v>408</v>
      </c>
      <c r="C87" s="26" t="s">
        <v>134</v>
      </c>
      <c r="D87" s="27" t="s">
        <v>6</v>
      </c>
      <c r="E87" s="27">
        <v>2</v>
      </c>
      <c r="F87" s="128">
        <f>'2023.'!P87</f>
        <v>0</v>
      </c>
      <c r="G87" s="128">
        <f>'2023.'!Q87</f>
        <v>0</v>
      </c>
      <c r="H87" s="127">
        <f t="shared" si="20"/>
        <v>0.25</v>
      </c>
      <c r="I87" s="127">
        <f t="shared" si="21"/>
        <v>0.25</v>
      </c>
      <c r="J87" s="112">
        <f>ROUND('2023.'!J87*1.025,0)</f>
        <v>3</v>
      </c>
      <c r="K87" s="112">
        <f t="shared" si="25"/>
        <v>3</v>
      </c>
      <c r="L87" s="110">
        <v>3</v>
      </c>
      <c r="M87" s="112">
        <f t="shared" si="24"/>
        <v>3</v>
      </c>
      <c r="N87" s="37">
        <f>'2023.'!N87*1.025</f>
        <v>535.8187499999998</v>
      </c>
      <c r="O87" s="21">
        <f t="shared" si="22"/>
        <v>1607.4562499999993</v>
      </c>
      <c r="P87" s="128">
        <f t="shared" si="23"/>
        <v>0</v>
      </c>
      <c r="Q87" s="128">
        <f t="shared" si="23"/>
        <v>0</v>
      </c>
    </row>
    <row r="88" spans="1:17" s="15" customFormat="1" ht="15" customHeight="1" x14ac:dyDescent="0.3">
      <c r="A88" s="257" t="s">
        <v>404</v>
      </c>
      <c r="B88" s="257"/>
      <c r="C88" s="257"/>
      <c r="D88" s="257"/>
      <c r="E88" s="257"/>
      <c r="F88" s="126">
        <f>'2023.'!P88</f>
        <v>295</v>
      </c>
      <c r="G88" s="126">
        <f>'2023.'!Q88</f>
        <v>439</v>
      </c>
      <c r="H88" s="126">
        <f t="shared" si="20"/>
        <v>252.83333333333334</v>
      </c>
      <c r="I88" s="126">
        <f t="shared" si="21"/>
        <v>377</v>
      </c>
      <c r="J88" s="126">
        <f t="shared" ref="J88:Q88" si="26">SUM(J89:J113)</f>
        <v>3034</v>
      </c>
      <c r="K88" s="126">
        <f t="shared" si="26"/>
        <v>4524</v>
      </c>
      <c r="L88" s="126">
        <f t="shared" si="26"/>
        <v>2768</v>
      </c>
      <c r="M88" s="126">
        <f t="shared" ref="M88" si="27">SUM(M89:M113)</f>
        <v>4113</v>
      </c>
      <c r="N88" s="38" t="s">
        <v>426</v>
      </c>
      <c r="O88" s="25">
        <f t="shared" si="26"/>
        <v>782583.80019203108</v>
      </c>
      <c r="P88" s="126">
        <f t="shared" si="26"/>
        <v>266</v>
      </c>
      <c r="Q88" s="126">
        <f t="shared" si="26"/>
        <v>411</v>
      </c>
    </row>
    <row r="89" spans="1:17" ht="15" customHeight="1" x14ac:dyDescent="0.3">
      <c r="A89" s="16">
        <v>78</v>
      </c>
      <c r="B89" s="16" t="s">
        <v>409</v>
      </c>
      <c r="C89" s="26" t="s">
        <v>136</v>
      </c>
      <c r="D89" s="27" t="s">
        <v>6</v>
      </c>
      <c r="E89" s="27">
        <v>2</v>
      </c>
      <c r="F89" s="128">
        <f>'2023.'!P89</f>
        <v>0</v>
      </c>
      <c r="G89" s="128">
        <f>'2023.'!Q89</f>
        <v>0</v>
      </c>
      <c r="H89" s="127">
        <f t="shared" si="20"/>
        <v>0.25</v>
      </c>
      <c r="I89" s="127">
        <f t="shared" si="21"/>
        <v>0.25</v>
      </c>
      <c r="J89" s="112">
        <f>ROUND('2023.'!J89*1.025,0)</f>
        <v>3</v>
      </c>
      <c r="K89" s="112">
        <f t="shared" ref="K89" si="28">ROUND(IF(F89=0,J89,J89*(G89/F89)),0)</f>
        <v>3</v>
      </c>
      <c r="L89" s="110">
        <v>3</v>
      </c>
      <c r="M89" s="112">
        <f t="shared" si="24"/>
        <v>3</v>
      </c>
      <c r="N89" s="37">
        <f>'2023.'!N89*1.025</f>
        <v>131.54350312499997</v>
      </c>
      <c r="O89" s="21">
        <f t="shared" si="22"/>
        <v>394.63050937499992</v>
      </c>
      <c r="P89" s="128">
        <f t="shared" si="23"/>
        <v>0</v>
      </c>
      <c r="Q89" s="128">
        <f t="shared" si="23"/>
        <v>0</v>
      </c>
    </row>
    <row r="90" spans="1:17" ht="15" customHeight="1" x14ac:dyDescent="0.3">
      <c r="A90" s="16">
        <v>79</v>
      </c>
      <c r="B90" s="16" t="s">
        <v>409</v>
      </c>
      <c r="C90" s="26" t="s">
        <v>138</v>
      </c>
      <c r="D90" s="27" t="s">
        <v>6</v>
      </c>
      <c r="E90" s="27">
        <v>2</v>
      </c>
      <c r="F90" s="128">
        <f>'2023.'!P90</f>
        <v>101</v>
      </c>
      <c r="G90" s="128">
        <f>'2023.'!Q90</f>
        <v>130</v>
      </c>
      <c r="H90" s="128">
        <f t="shared" si="20"/>
        <v>86.5</v>
      </c>
      <c r="I90" s="128">
        <f t="shared" si="21"/>
        <v>111.33333333333333</v>
      </c>
      <c r="J90" s="112">
        <f>ROUND('2023.'!J90*1.025,0)</f>
        <v>1038</v>
      </c>
      <c r="K90" s="112">
        <f t="shared" ref="K90:K113" si="29">ROUND(IF(F90=0,J90,J90*(G90/F90)),0)</f>
        <v>1336</v>
      </c>
      <c r="L90" s="110">
        <v>1005</v>
      </c>
      <c r="M90" s="112">
        <f t="shared" si="24"/>
        <v>1294</v>
      </c>
      <c r="N90" s="37">
        <f>'2023.'!N90*1.025</f>
        <v>164.42937890624998</v>
      </c>
      <c r="O90" s="21">
        <f t="shared" si="22"/>
        <v>212771.61630468749</v>
      </c>
      <c r="P90" s="128">
        <f t="shared" si="23"/>
        <v>33</v>
      </c>
      <c r="Q90" s="128">
        <f t="shared" si="23"/>
        <v>42</v>
      </c>
    </row>
    <row r="91" spans="1:17" ht="15" customHeight="1" x14ac:dyDescent="0.3">
      <c r="A91" s="16">
        <v>80</v>
      </c>
      <c r="B91" s="16" t="s">
        <v>409</v>
      </c>
      <c r="C91" s="26" t="s">
        <v>140</v>
      </c>
      <c r="D91" s="27" t="s">
        <v>6</v>
      </c>
      <c r="E91" s="27">
        <v>2</v>
      </c>
      <c r="F91" s="128">
        <f>'2023.'!P91</f>
        <v>1</v>
      </c>
      <c r="G91" s="128">
        <f>'2023.'!Q91</f>
        <v>1</v>
      </c>
      <c r="H91" s="128">
        <f t="shared" si="20"/>
        <v>0.58333333333333337</v>
      </c>
      <c r="I91" s="128">
        <f t="shared" si="21"/>
        <v>0.58333333333333337</v>
      </c>
      <c r="J91" s="112">
        <f>ROUND('2023.'!J91*1.025,0)</f>
        <v>7</v>
      </c>
      <c r="K91" s="112">
        <f t="shared" si="29"/>
        <v>7</v>
      </c>
      <c r="L91" s="110">
        <v>6</v>
      </c>
      <c r="M91" s="112">
        <f t="shared" si="24"/>
        <v>6</v>
      </c>
      <c r="N91" s="37">
        <f>'2023.'!N91*1.025</f>
        <v>18.673283437499997</v>
      </c>
      <c r="O91" s="21">
        <f t="shared" si="22"/>
        <v>112.03970062499998</v>
      </c>
      <c r="P91" s="128">
        <f t="shared" si="23"/>
        <v>1</v>
      </c>
      <c r="Q91" s="128">
        <f t="shared" si="23"/>
        <v>1</v>
      </c>
    </row>
    <row r="92" spans="1:17" ht="15" customHeight="1" x14ac:dyDescent="0.3">
      <c r="A92" s="16">
        <v>81</v>
      </c>
      <c r="B92" s="16" t="s">
        <v>409</v>
      </c>
      <c r="C92" s="26" t="s">
        <v>142</v>
      </c>
      <c r="D92" s="27" t="s">
        <v>6</v>
      </c>
      <c r="E92" s="27">
        <v>2</v>
      </c>
      <c r="F92" s="128">
        <f>'2023.'!P92</f>
        <v>5</v>
      </c>
      <c r="G92" s="128">
        <f>'2023.'!Q92</f>
        <v>6</v>
      </c>
      <c r="H92" s="128">
        <f t="shared" si="20"/>
        <v>4.5</v>
      </c>
      <c r="I92" s="128">
        <f t="shared" si="21"/>
        <v>5.416666666666667</v>
      </c>
      <c r="J92" s="112">
        <f>ROUND('2023.'!J92*1.025,0)</f>
        <v>54</v>
      </c>
      <c r="K92" s="112">
        <f t="shared" si="29"/>
        <v>65</v>
      </c>
      <c r="L92" s="110">
        <v>48</v>
      </c>
      <c r="M92" s="112">
        <f t="shared" si="24"/>
        <v>58</v>
      </c>
      <c r="N92" s="37">
        <f>'2023.'!N92*1.025</f>
        <v>208.28614359374996</v>
      </c>
      <c r="O92" s="21">
        <f t="shared" si="22"/>
        <v>12080.596328437498</v>
      </c>
      <c r="P92" s="128">
        <f t="shared" si="23"/>
        <v>6</v>
      </c>
      <c r="Q92" s="128">
        <f t="shared" si="23"/>
        <v>7</v>
      </c>
    </row>
    <row r="93" spans="1:17" ht="15" customHeight="1" x14ac:dyDescent="0.3">
      <c r="A93" s="16">
        <v>82</v>
      </c>
      <c r="B93" s="16" t="s">
        <v>409</v>
      </c>
      <c r="C93" s="26" t="s">
        <v>144</v>
      </c>
      <c r="D93" s="27" t="s">
        <v>6</v>
      </c>
      <c r="E93" s="27">
        <v>2</v>
      </c>
      <c r="F93" s="128">
        <f>'2023.'!P93</f>
        <v>12</v>
      </c>
      <c r="G93" s="128">
        <f>'2023.'!Q93</f>
        <v>13</v>
      </c>
      <c r="H93" s="128">
        <f t="shared" si="20"/>
        <v>10.25</v>
      </c>
      <c r="I93" s="128">
        <f t="shared" si="21"/>
        <v>11.083333333333334</v>
      </c>
      <c r="J93" s="112">
        <f>ROUND('2023.'!J93*1.025,0)</f>
        <v>123</v>
      </c>
      <c r="K93" s="112">
        <f t="shared" si="29"/>
        <v>133</v>
      </c>
      <c r="L93" s="110">
        <v>108</v>
      </c>
      <c r="M93" s="112">
        <f t="shared" si="24"/>
        <v>117</v>
      </c>
      <c r="N93" s="37">
        <f>'2023.'!N93*1.025</f>
        <v>219.24363703124993</v>
      </c>
      <c r="O93" s="21">
        <f t="shared" si="22"/>
        <v>25651.505532656243</v>
      </c>
      <c r="P93" s="128">
        <f t="shared" si="23"/>
        <v>15</v>
      </c>
      <c r="Q93" s="128">
        <f t="shared" si="23"/>
        <v>16</v>
      </c>
    </row>
    <row r="94" spans="1:17" ht="15" customHeight="1" x14ac:dyDescent="0.3">
      <c r="A94" s="16">
        <v>83</v>
      </c>
      <c r="B94" s="16" t="s">
        <v>409</v>
      </c>
      <c r="C94" s="26" t="s">
        <v>146</v>
      </c>
      <c r="D94" s="27" t="s">
        <v>6</v>
      </c>
      <c r="E94" s="27">
        <v>2</v>
      </c>
      <c r="F94" s="128">
        <f>'2023.'!P94</f>
        <v>7</v>
      </c>
      <c r="G94" s="128">
        <f>'2023.'!Q94</f>
        <v>8</v>
      </c>
      <c r="H94" s="128">
        <f t="shared" si="20"/>
        <v>5.75</v>
      </c>
      <c r="I94" s="128">
        <f t="shared" si="21"/>
        <v>6.583333333333333</v>
      </c>
      <c r="J94" s="112">
        <f>ROUND('2023.'!J94*1.025,0)</f>
        <v>69</v>
      </c>
      <c r="K94" s="112">
        <f t="shared" si="29"/>
        <v>79</v>
      </c>
      <c r="L94" s="110">
        <v>60</v>
      </c>
      <c r="M94" s="112">
        <f t="shared" si="24"/>
        <v>69</v>
      </c>
      <c r="N94" s="37">
        <f>'2023.'!N94*1.025</f>
        <v>87.700133906249988</v>
      </c>
      <c r="O94" s="21">
        <f t="shared" si="22"/>
        <v>6051.3092395312487</v>
      </c>
      <c r="P94" s="128">
        <f t="shared" si="23"/>
        <v>9</v>
      </c>
      <c r="Q94" s="128">
        <f t="shared" si="23"/>
        <v>10</v>
      </c>
    </row>
    <row r="95" spans="1:17" ht="15" customHeight="1" x14ac:dyDescent="0.3">
      <c r="A95" s="16">
        <v>84</v>
      </c>
      <c r="B95" s="16" t="s">
        <v>409</v>
      </c>
      <c r="C95" s="26" t="s">
        <v>148</v>
      </c>
      <c r="D95" s="27" t="s">
        <v>6</v>
      </c>
      <c r="E95" s="27">
        <v>2</v>
      </c>
      <c r="F95" s="128">
        <f>'2023.'!P95</f>
        <v>1</v>
      </c>
      <c r="G95" s="128">
        <f>'2023.'!Q95</f>
        <v>1</v>
      </c>
      <c r="H95" s="127">
        <f t="shared" si="20"/>
        <v>0.33333333333333331</v>
      </c>
      <c r="I95" s="127">
        <f t="shared" si="21"/>
        <v>0.33333333333333331</v>
      </c>
      <c r="J95" s="112">
        <f>ROUND('2023.'!J95*1.025,0)</f>
        <v>4</v>
      </c>
      <c r="K95" s="112">
        <f t="shared" si="29"/>
        <v>4</v>
      </c>
      <c r="L95" s="110">
        <v>3</v>
      </c>
      <c r="M95" s="112">
        <f t="shared" si="24"/>
        <v>3</v>
      </c>
      <c r="N95" s="37">
        <f>'2023.'!N95*1.025</f>
        <v>208.28614359374996</v>
      </c>
      <c r="O95" s="21">
        <f t="shared" si="22"/>
        <v>624.85843078124981</v>
      </c>
      <c r="P95" s="128">
        <f t="shared" si="23"/>
        <v>1</v>
      </c>
      <c r="Q95" s="128">
        <f t="shared" si="23"/>
        <v>1</v>
      </c>
    </row>
    <row r="96" spans="1:17" ht="15" customHeight="1" x14ac:dyDescent="0.3">
      <c r="A96" s="16">
        <v>85</v>
      </c>
      <c r="B96" s="16" t="s">
        <v>409</v>
      </c>
      <c r="C96" s="26" t="s">
        <v>150</v>
      </c>
      <c r="D96" s="27" t="s">
        <v>6</v>
      </c>
      <c r="E96" s="27">
        <v>2</v>
      </c>
      <c r="F96" s="128">
        <f>'2023.'!P96</f>
        <v>1</v>
      </c>
      <c r="G96" s="128">
        <f>'2023.'!Q96</f>
        <v>1</v>
      </c>
      <c r="H96" s="128">
        <f t="shared" si="20"/>
        <v>1.0833333333333333</v>
      </c>
      <c r="I96" s="128">
        <f t="shared" si="21"/>
        <v>1.0833333333333333</v>
      </c>
      <c r="J96" s="112">
        <f>ROUND('2023.'!J96*1.025,0)</f>
        <v>13</v>
      </c>
      <c r="K96" s="112">
        <f t="shared" si="29"/>
        <v>13</v>
      </c>
      <c r="L96" s="110">
        <v>12</v>
      </c>
      <c r="M96" s="112">
        <f t="shared" si="24"/>
        <v>12</v>
      </c>
      <c r="N96" s="37">
        <f>'2023.'!N96*1.025</f>
        <v>306.94377093749989</v>
      </c>
      <c r="O96" s="21">
        <f t="shared" si="22"/>
        <v>3683.3252512499985</v>
      </c>
      <c r="P96" s="128">
        <f t="shared" si="23"/>
        <v>1</v>
      </c>
      <c r="Q96" s="128">
        <f t="shared" si="23"/>
        <v>1</v>
      </c>
    </row>
    <row r="97" spans="1:17" ht="15" customHeight="1" x14ac:dyDescent="0.3">
      <c r="A97" s="16">
        <v>86</v>
      </c>
      <c r="B97" s="16" t="s">
        <v>409</v>
      </c>
      <c r="C97" s="26" t="s">
        <v>152</v>
      </c>
      <c r="D97" s="27" t="s">
        <v>6</v>
      </c>
      <c r="E97" s="27">
        <v>2</v>
      </c>
      <c r="F97" s="128">
        <f>'2023.'!P97</f>
        <v>4</v>
      </c>
      <c r="G97" s="128">
        <f>'2023.'!Q97</f>
        <v>4</v>
      </c>
      <c r="H97" s="128">
        <f t="shared" si="20"/>
        <v>3.4166666666666665</v>
      </c>
      <c r="I97" s="128">
        <f t="shared" si="21"/>
        <v>3.4166666666666665</v>
      </c>
      <c r="J97" s="112">
        <f>ROUND('2023.'!J97*1.025,0)</f>
        <v>41</v>
      </c>
      <c r="K97" s="112">
        <f t="shared" si="29"/>
        <v>41</v>
      </c>
      <c r="L97" s="110">
        <v>36</v>
      </c>
      <c r="M97" s="112">
        <f t="shared" si="24"/>
        <v>36</v>
      </c>
      <c r="N97" s="37">
        <f>'2023.'!N97*1.025</f>
        <v>131.54350312499997</v>
      </c>
      <c r="O97" s="21">
        <f t="shared" si="22"/>
        <v>4735.5661124999988</v>
      </c>
      <c r="P97" s="128">
        <f t="shared" si="23"/>
        <v>5</v>
      </c>
      <c r="Q97" s="128">
        <f t="shared" si="23"/>
        <v>5</v>
      </c>
    </row>
    <row r="98" spans="1:17" ht="15" customHeight="1" x14ac:dyDescent="0.3">
      <c r="A98" s="16">
        <v>87</v>
      </c>
      <c r="B98" s="16" t="s">
        <v>409</v>
      </c>
      <c r="C98" s="26" t="s">
        <v>153</v>
      </c>
      <c r="D98" s="27" t="s">
        <v>6</v>
      </c>
      <c r="E98" s="27">
        <v>2</v>
      </c>
      <c r="F98" s="128">
        <f>'2023.'!P98</f>
        <v>0</v>
      </c>
      <c r="G98" s="128">
        <f>'2023.'!Q98</f>
        <v>0</v>
      </c>
      <c r="H98" s="127">
        <f t="shared" si="20"/>
        <v>0.25</v>
      </c>
      <c r="I98" s="127">
        <f t="shared" si="21"/>
        <v>0.25</v>
      </c>
      <c r="J98" s="112">
        <f>ROUND('2023.'!J98*1.025,0)</f>
        <v>3</v>
      </c>
      <c r="K98" s="112">
        <f t="shared" si="29"/>
        <v>3</v>
      </c>
      <c r="L98" s="110">
        <v>3</v>
      </c>
      <c r="M98" s="112">
        <f t="shared" si="24"/>
        <v>3</v>
      </c>
      <c r="N98" s="37">
        <f>'2023.'!N98*1.025</f>
        <v>131.54350312499997</v>
      </c>
      <c r="O98" s="21">
        <f t="shared" si="22"/>
        <v>394.63050937499992</v>
      </c>
      <c r="P98" s="128">
        <f t="shared" si="23"/>
        <v>0</v>
      </c>
      <c r="Q98" s="128">
        <f t="shared" si="23"/>
        <v>0</v>
      </c>
    </row>
    <row r="99" spans="1:17" ht="15" customHeight="1" x14ac:dyDescent="0.3">
      <c r="A99" s="16">
        <v>88</v>
      </c>
      <c r="B99" s="16" t="s">
        <v>409</v>
      </c>
      <c r="C99" s="26" t="s">
        <v>155</v>
      </c>
      <c r="D99" s="27" t="s">
        <v>6</v>
      </c>
      <c r="E99" s="27">
        <v>2</v>
      </c>
      <c r="F99" s="128">
        <f>'2023.'!P99</f>
        <v>58</v>
      </c>
      <c r="G99" s="128">
        <f>'2023.'!Q99</f>
        <v>112</v>
      </c>
      <c r="H99" s="128">
        <f t="shared" si="20"/>
        <v>50.083333333333336</v>
      </c>
      <c r="I99" s="128">
        <f t="shared" si="21"/>
        <v>96.75</v>
      </c>
      <c r="J99" s="112">
        <f>ROUND('2023.'!J99*1.025,0)</f>
        <v>601</v>
      </c>
      <c r="K99" s="112">
        <f t="shared" si="29"/>
        <v>1161</v>
      </c>
      <c r="L99" s="110">
        <v>535</v>
      </c>
      <c r="M99" s="112">
        <f t="shared" si="24"/>
        <v>1033</v>
      </c>
      <c r="N99" s="37">
        <f>'2023.'!N99*1.025</f>
        <v>197.31525468749996</v>
      </c>
      <c r="O99" s="21">
        <f t="shared" si="22"/>
        <v>203826.65809218746</v>
      </c>
      <c r="P99" s="128">
        <f t="shared" si="23"/>
        <v>66</v>
      </c>
      <c r="Q99" s="128">
        <f t="shared" si="23"/>
        <v>128</v>
      </c>
    </row>
    <row r="100" spans="1:17" ht="15" customHeight="1" x14ac:dyDescent="0.3">
      <c r="A100" s="16">
        <v>89</v>
      </c>
      <c r="B100" s="16" t="s">
        <v>409</v>
      </c>
      <c r="C100" s="26" t="s">
        <v>157</v>
      </c>
      <c r="D100" s="27" t="s">
        <v>6</v>
      </c>
      <c r="E100" s="27">
        <v>2</v>
      </c>
      <c r="F100" s="128">
        <f>'2023.'!P100</f>
        <v>24</v>
      </c>
      <c r="G100" s="128">
        <f>'2023.'!Q100</f>
        <v>40</v>
      </c>
      <c r="H100" s="128">
        <f t="shared" si="20"/>
        <v>20.5</v>
      </c>
      <c r="I100" s="128">
        <f t="shared" si="21"/>
        <v>34.166666666666664</v>
      </c>
      <c r="J100" s="112">
        <f>ROUND('2023.'!J100*1.025,0)</f>
        <v>246</v>
      </c>
      <c r="K100" s="112">
        <f t="shared" si="29"/>
        <v>410</v>
      </c>
      <c r="L100" s="110">
        <v>216</v>
      </c>
      <c r="M100" s="112">
        <f t="shared" si="24"/>
        <v>360</v>
      </c>
      <c r="N100" s="37">
        <f>'2023.'!N100*1.025</f>
        <v>219.24363703124993</v>
      </c>
      <c r="O100" s="21">
        <f t="shared" si="22"/>
        <v>78927.709331249978</v>
      </c>
      <c r="P100" s="128">
        <f t="shared" si="23"/>
        <v>30</v>
      </c>
      <c r="Q100" s="128">
        <f t="shared" si="23"/>
        <v>50</v>
      </c>
    </row>
    <row r="101" spans="1:17" ht="15" customHeight="1" x14ac:dyDescent="0.3">
      <c r="A101" s="16">
        <v>90</v>
      </c>
      <c r="B101" s="16" t="s">
        <v>409</v>
      </c>
      <c r="C101" s="26" t="s">
        <v>159</v>
      </c>
      <c r="D101" s="27" t="s">
        <v>6</v>
      </c>
      <c r="E101" s="27">
        <v>2</v>
      </c>
      <c r="F101" s="128">
        <f>'2023.'!P101</f>
        <v>7</v>
      </c>
      <c r="G101" s="128">
        <f>'2023.'!Q101</f>
        <v>8</v>
      </c>
      <c r="H101" s="128">
        <f t="shared" si="20"/>
        <v>5.75</v>
      </c>
      <c r="I101" s="128">
        <f t="shared" si="21"/>
        <v>6.583333333333333</v>
      </c>
      <c r="J101" s="112">
        <f>ROUND('2023.'!J101*1.025,0)</f>
        <v>69</v>
      </c>
      <c r="K101" s="112">
        <f t="shared" si="29"/>
        <v>79</v>
      </c>
      <c r="L101" s="110">
        <v>60</v>
      </c>
      <c r="M101" s="112">
        <f t="shared" si="24"/>
        <v>69</v>
      </c>
      <c r="N101" s="37">
        <f>'2023.'!N101*1.025</f>
        <v>142.51439203124997</v>
      </c>
      <c r="O101" s="21">
        <f t="shared" si="22"/>
        <v>9833.4930501562485</v>
      </c>
      <c r="P101" s="128">
        <f t="shared" si="23"/>
        <v>9</v>
      </c>
      <c r="Q101" s="128">
        <f t="shared" si="23"/>
        <v>10</v>
      </c>
    </row>
    <row r="102" spans="1:17" ht="15" customHeight="1" x14ac:dyDescent="0.3">
      <c r="A102" s="16">
        <v>91</v>
      </c>
      <c r="B102" s="16" t="s">
        <v>409</v>
      </c>
      <c r="C102" s="26" t="s">
        <v>161</v>
      </c>
      <c r="D102" s="27" t="s">
        <v>6</v>
      </c>
      <c r="E102" s="27">
        <v>2</v>
      </c>
      <c r="F102" s="128">
        <f>'2023.'!P102</f>
        <v>0</v>
      </c>
      <c r="G102" s="128">
        <f>'2023.'!Q102</f>
        <v>0</v>
      </c>
      <c r="H102" s="127">
        <f t="shared" si="20"/>
        <v>0.25</v>
      </c>
      <c r="I102" s="127">
        <f t="shared" si="21"/>
        <v>0.25</v>
      </c>
      <c r="J102" s="112">
        <f>ROUND('2023.'!J102*1.025,0)</f>
        <v>3</v>
      </c>
      <c r="K102" s="112">
        <f t="shared" si="29"/>
        <v>3</v>
      </c>
      <c r="L102" s="110">
        <v>3</v>
      </c>
      <c r="M102" s="112">
        <f t="shared" si="24"/>
        <v>3</v>
      </c>
      <c r="N102" s="37">
        <f>'2023.'!N102*1.025</f>
        <v>230.20113046874994</v>
      </c>
      <c r="O102" s="21">
        <f t="shared" si="22"/>
        <v>690.60339140624978</v>
      </c>
      <c r="P102" s="128">
        <f t="shared" si="23"/>
        <v>0</v>
      </c>
      <c r="Q102" s="128">
        <f t="shared" si="23"/>
        <v>0</v>
      </c>
    </row>
    <row r="103" spans="1:17" ht="15" customHeight="1" x14ac:dyDescent="0.3">
      <c r="A103" s="16">
        <v>92</v>
      </c>
      <c r="B103" s="16" t="s">
        <v>409</v>
      </c>
      <c r="C103" s="26" t="s">
        <v>163</v>
      </c>
      <c r="D103" s="27" t="s">
        <v>6</v>
      </c>
      <c r="E103" s="27">
        <v>2</v>
      </c>
      <c r="F103" s="128">
        <f>'2023.'!P103</f>
        <v>3</v>
      </c>
      <c r="G103" s="128">
        <f>'2023.'!Q103</f>
        <v>5</v>
      </c>
      <c r="H103" s="128">
        <f t="shared" si="20"/>
        <v>2.3333333333333335</v>
      </c>
      <c r="I103" s="128">
        <f t="shared" si="21"/>
        <v>3.9166666666666665</v>
      </c>
      <c r="J103" s="112">
        <f>ROUND('2023.'!J103*1.025,0)</f>
        <v>28</v>
      </c>
      <c r="K103" s="112">
        <f t="shared" si="29"/>
        <v>47</v>
      </c>
      <c r="L103" s="110">
        <v>24</v>
      </c>
      <c r="M103" s="112">
        <f t="shared" si="24"/>
        <v>40</v>
      </c>
      <c r="N103" s="37">
        <f>'2023.'!N103*1.025</f>
        <v>241.17201937499993</v>
      </c>
      <c r="O103" s="21">
        <f t="shared" si="22"/>
        <v>9646.8807749999978</v>
      </c>
      <c r="P103" s="128">
        <f t="shared" si="23"/>
        <v>4</v>
      </c>
      <c r="Q103" s="128">
        <f t="shared" si="23"/>
        <v>7</v>
      </c>
    </row>
    <row r="104" spans="1:17" ht="15" customHeight="1" x14ac:dyDescent="0.3">
      <c r="A104" s="16">
        <v>93</v>
      </c>
      <c r="B104" s="16" t="s">
        <v>409</v>
      </c>
      <c r="C104" s="26" t="s">
        <v>165</v>
      </c>
      <c r="D104" s="27" t="s">
        <v>6</v>
      </c>
      <c r="E104" s="27">
        <v>2</v>
      </c>
      <c r="F104" s="128">
        <f>'2023.'!P104</f>
        <v>4</v>
      </c>
      <c r="G104" s="128">
        <f>'2023.'!Q104</f>
        <v>5</v>
      </c>
      <c r="H104" s="128">
        <f t="shared" si="20"/>
        <v>3.4166666666666665</v>
      </c>
      <c r="I104" s="128">
        <f t="shared" si="21"/>
        <v>4.25</v>
      </c>
      <c r="J104" s="112">
        <f>ROUND('2023.'!J104*1.025,0)</f>
        <v>41</v>
      </c>
      <c r="K104" s="112">
        <f t="shared" si="29"/>
        <v>51</v>
      </c>
      <c r="L104" s="110">
        <v>36</v>
      </c>
      <c r="M104" s="112">
        <f t="shared" si="24"/>
        <v>45</v>
      </c>
      <c r="N104" s="37">
        <f>'2023.'!N104*1.025</f>
        <v>24.406544062499993</v>
      </c>
      <c r="O104" s="21">
        <f t="shared" si="22"/>
        <v>1098.2944828124996</v>
      </c>
      <c r="P104" s="128">
        <f t="shared" si="23"/>
        <v>5</v>
      </c>
      <c r="Q104" s="128">
        <f t="shared" si="23"/>
        <v>6</v>
      </c>
    </row>
    <row r="105" spans="1:17" ht="15" customHeight="1" x14ac:dyDescent="0.3">
      <c r="A105" s="16">
        <v>94</v>
      </c>
      <c r="B105" s="16" t="s">
        <v>409</v>
      </c>
      <c r="C105" s="26" t="s">
        <v>167</v>
      </c>
      <c r="D105" s="27" t="s">
        <v>6</v>
      </c>
      <c r="E105" s="27">
        <v>2</v>
      </c>
      <c r="F105" s="128">
        <f>'2023.'!P105</f>
        <v>1</v>
      </c>
      <c r="G105" s="128">
        <f>'2023.'!Q105</f>
        <v>1</v>
      </c>
      <c r="H105" s="127">
        <f t="shared" si="20"/>
        <v>0.33333333333333331</v>
      </c>
      <c r="I105" s="127">
        <f t="shared" si="21"/>
        <v>0.33333333333333331</v>
      </c>
      <c r="J105" s="112">
        <f>ROUND('2023.'!J105*1.025,0)</f>
        <v>4</v>
      </c>
      <c r="K105" s="112">
        <f t="shared" si="29"/>
        <v>4</v>
      </c>
      <c r="L105" s="110">
        <v>3</v>
      </c>
      <c r="M105" s="112">
        <f t="shared" si="24"/>
        <v>3</v>
      </c>
      <c r="N105" s="37">
        <f>'2023.'!N105*1.025</f>
        <v>260.40791249999995</v>
      </c>
      <c r="O105" s="21">
        <f t="shared" si="22"/>
        <v>781.22373749999986</v>
      </c>
      <c r="P105" s="128">
        <f t="shared" si="23"/>
        <v>1</v>
      </c>
      <c r="Q105" s="128">
        <f t="shared" si="23"/>
        <v>1</v>
      </c>
    </row>
    <row r="106" spans="1:17" ht="15" customHeight="1" x14ac:dyDescent="0.3">
      <c r="A106" s="16">
        <v>95</v>
      </c>
      <c r="B106" s="16" t="s">
        <v>409</v>
      </c>
      <c r="C106" s="26" t="s">
        <v>169</v>
      </c>
      <c r="D106" s="27" t="s">
        <v>6</v>
      </c>
      <c r="E106" s="27">
        <v>2</v>
      </c>
      <c r="F106" s="128">
        <f>'2023.'!P106</f>
        <v>13</v>
      </c>
      <c r="G106" s="128">
        <f>'2023.'!Q106</f>
        <v>20</v>
      </c>
      <c r="H106" s="128">
        <f t="shared" si="20"/>
        <v>11.333333333333334</v>
      </c>
      <c r="I106" s="128">
        <f t="shared" si="21"/>
        <v>17.416666666666668</v>
      </c>
      <c r="J106" s="112">
        <f>ROUND('2023.'!J106*1.025,0)</f>
        <v>136</v>
      </c>
      <c r="K106" s="112">
        <f t="shared" si="29"/>
        <v>209</v>
      </c>
      <c r="L106" s="110">
        <v>120</v>
      </c>
      <c r="M106" s="112">
        <f t="shared" si="24"/>
        <v>185</v>
      </c>
      <c r="N106" s="37">
        <f>'2023.'!N106*1.025</f>
        <v>197.45446249999998</v>
      </c>
      <c r="O106" s="21">
        <f t="shared" si="22"/>
        <v>36529.075562499995</v>
      </c>
      <c r="P106" s="128">
        <f t="shared" si="23"/>
        <v>16</v>
      </c>
      <c r="Q106" s="128">
        <f t="shared" si="23"/>
        <v>24</v>
      </c>
    </row>
    <row r="107" spans="1:17" ht="15" customHeight="1" x14ac:dyDescent="0.3">
      <c r="A107" s="16">
        <v>96</v>
      </c>
      <c r="B107" s="16" t="s">
        <v>409</v>
      </c>
      <c r="C107" s="26" t="s">
        <v>171</v>
      </c>
      <c r="D107" s="27" t="s">
        <v>6</v>
      </c>
      <c r="E107" s="27">
        <v>2</v>
      </c>
      <c r="F107" s="128">
        <f>'2023.'!P107</f>
        <v>49</v>
      </c>
      <c r="G107" s="128">
        <f>'2023.'!Q107</f>
        <v>78</v>
      </c>
      <c r="H107" s="128">
        <f t="shared" si="20"/>
        <v>42.083333333333336</v>
      </c>
      <c r="I107" s="128">
        <f t="shared" si="21"/>
        <v>67</v>
      </c>
      <c r="J107" s="112">
        <f>ROUND('2023.'!J107*1.025,0)</f>
        <v>505</v>
      </c>
      <c r="K107" s="112">
        <f t="shared" si="29"/>
        <v>804</v>
      </c>
      <c r="L107" s="110">
        <v>445</v>
      </c>
      <c r="M107" s="112">
        <f t="shared" si="24"/>
        <v>708</v>
      </c>
      <c r="N107" s="37">
        <f>'2023.'!N107*1.025</f>
        <v>218.23582499999998</v>
      </c>
      <c r="O107" s="21">
        <f t="shared" si="22"/>
        <v>154510.96409999998</v>
      </c>
      <c r="P107" s="128">
        <f t="shared" si="23"/>
        <v>60</v>
      </c>
      <c r="Q107" s="128">
        <f t="shared" si="23"/>
        <v>96</v>
      </c>
    </row>
    <row r="108" spans="1:17" ht="15" customHeight="1" x14ac:dyDescent="0.3">
      <c r="A108" s="16">
        <v>97</v>
      </c>
      <c r="B108" s="16" t="s">
        <v>409</v>
      </c>
      <c r="C108" s="26" t="s">
        <v>172</v>
      </c>
      <c r="D108" s="27" t="s">
        <v>6</v>
      </c>
      <c r="E108" s="27">
        <v>2</v>
      </c>
      <c r="F108" s="128">
        <f>'2023.'!P108</f>
        <v>0</v>
      </c>
      <c r="G108" s="128">
        <f>'2023.'!Q108</f>
        <v>0</v>
      </c>
      <c r="H108" s="128">
        <f t="shared" si="20"/>
        <v>0.5</v>
      </c>
      <c r="I108" s="128">
        <f t="shared" si="21"/>
        <v>0.5</v>
      </c>
      <c r="J108" s="112">
        <f>ROUND('2023.'!J108*1.025,0)</f>
        <v>6</v>
      </c>
      <c r="K108" s="112">
        <f t="shared" si="29"/>
        <v>6</v>
      </c>
      <c r="L108" s="110">
        <v>6</v>
      </c>
      <c r="M108" s="112">
        <f t="shared" si="24"/>
        <v>6</v>
      </c>
      <c r="N108" s="37">
        <f>'2023.'!N108*1.025</f>
        <v>478.0343749999999</v>
      </c>
      <c r="O108" s="21">
        <f t="shared" si="22"/>
        <v>2868.2062499999993</v>
      </c>
      <c r="P108" s="128">
        <f t="shared" si="23"/>
        <v>0</v>
      </c>
      <c r="Q108" s="128">
        <f t="shared" si="23"/>
        <v>0</v>
      </c>
    </row>
    <row r="109" spans="1:17" ht="15" customHeight="1" x14ac:dyDescent="0.3">
      <c r="A109" s="16">
        <v>98</v>
      </c>
      <c r="B109" s="16" t="s">
        <v>409</v>
      </c>
      <c r="C109" s="26" t="s">
        <v>173</v>
      </c>
      <c r="D109" s="27" t="s">
        <v>6</v>
      </c>
      <c r="E109" s="27">
        <v>2</v>
      </c>
      <c r="F109" s="128">
        <f>'2023.'!P109</f>
        <v>0</v>
      </c>
      <c r="G109" s="128">
        <f>'2023.'!Q109</f>
        <v>0</v>
      </c>
      <c r="H109" s="128">
        <f t="shared" si="20"/>
        <v>0.5</v>
      </c>
      <c r="I109" s="128">
        <f t="shared" si="21"/>
        <v>0.5</v>
      </c>
      <c r="J109" s="112">
        <f>ROUND('2023.'!J109*1.025,0)</f>
        <v>6</v>
      </c>
      <c r="K109" s="112">
        <f t="shared" si="29"/>
        <v>6</v>
      </c>
      <c r="L109" s="110">
        <v>6</v>
      </c>
      <c r="M109" s="112">
        <f t="shared" si="24"/>
        <v>6</v>
      </c>
      <c r="N109" s="37">
        <f>'2023.'!N109*1.025</f>
        <v>851.0062499999998</v>
      </c>
      <c r="O109" s="21">
        <f t="shared" si="22"/>
        <v>5106.0374999999985</v>
      </c>
      <c r="P109" s="128">
        <f t="shared" si="23"/>
        <v>0</v>
      </c>
      <c r="Q109" s="128">
        <f t="shared" si="23"/>
        <v>0</v>
      </c>
    </row>
    <row r="110" spans="1:17" ht="15" customHeight="1" x14ac:dyDescent="0.3">
      <c r="A110" s="16">
        <v>99</v>
      </c>
      <c r="B110" s="16" t="s">
        <v>409</v>
      </c>
      <c r="C110" s="26" t="s">
        <v>175</v>
      </c>
      <c r="D110" s="27" t="s">
        <v>6</v>
      </c>
      <c r="E110" s="27">
        <v>2</v>
      </c>
      <c r="F110" s="128">
        <f>'2023.'!P110</f>
        <v>1</v>
      </c>
      <c r="G110" s="128">
        <f>'2023.'!Q110</f>
        <v>1</v>
      </c>
      <c r="H110" s="127">
        <f t="shared" si="20"/>
        <v>0.33333333333333331</v>
      </c>
      <c r="I110" s="127">
        <f t="shared" si="21"/>
        <v>0.33333333333333331</v>
      </c>
      <c r="J110" s="112">
        <f>ROUND('2023.'!J110*1.025,0)</f>
        <v>4</v>
      </c>
      <c r="K110" s="112">
        <f t="shared" si="29"/>
        <v>4</v>
      </c>
      <c r="L110" s="110">
        <v>3</v>
      </c>
      <c r="M110" s="112">
        <f t="shared" si="24"/>
        <v>3</v>
      </c>
      <c r="N110" s="37">
        <f>'2023.'!N110*1.025</f>
        <v>265.00964999999997</v>
      </c>
      <c r="O110" s="21">
        <f t="shared" si="22"/>
        <v>795.0289499999999</v>
      </c>
      <c r="P110" s="128">
        <f t="shared" si="23"/>
        <v>1</v>
      </c>
      <c r="Q110" s="128">
        <f t="shared" si="23"/>
        <v>1</v>
      </c>
    </row>
    <row r="111" spans="1:17" ht="15" customHeight="1" x14ac:dyDescent="0.3">
      <c r="A111" s="16">
        <v>100</v>
      </c>
      <c r="B111" s="16" t="s">
        <v>409</v>
      </c>
      <c r="C111" s="26" t="s">
        <v>177</v>
      </c>
      <c r="D111" s="27" t="s">
        <v>6</v>
      </c>
      <c r="E111" s="27">
        <v>2</v>
      </c>
      <c r="F111" s="128">
        <f>'2023.'!P111</f>
        <v>1</v>
      </c>
      <c r="G111" s="128">
        <f>'2023.'!Q111</f>
        <v>1</v>
      </c>
      <c r="H111" s="127">
        <f t="shared" si="20"/>
        <v>0.33333333333333331</v>
      </c>
      <c r="I111" s="127">
        <f t="shared" si="21"/>
        <v>0.33333333333333331</v>
      </c>
      <c r="J111" s="112">
        <f>ROUND('2023.'!J111*1.025,0)</f>
        <v>4</v>
      </c>
      <c r="K111" s="112">
        <f t="shared" si="29"/>
        <v>4</v>
      </c>
      <c r="L111" s="110">
        <v>3</v>
      </c>
      <c r="M111" s="112">
        <f t="shared" si="24"/>
        <v>3</v>
      </c>
      <c r="N111" s="37">
        <f>'2023.'!N111*1.025</f>
        <v>140.27945</v>
      </c>
      <c r="O111" s="21">
        <f t="shared" si="22"/>
        <v>420.83834999999999</v>
      </c>
      <c r="P111" s="128">
        <f t="shared" si="23"/>
        <v>1</v>
      </c>
      <c r="Q111" s="128">
        <f t="shared" si="23"/>
        <v>1</v>
      </c>
    </row>
    <row r="112" spans="1:17" ht="15" customHeight="1" x14ac:dyDescent="0.3">
      <c r="A112" s="16">
        <v>101</v>
      </c>
      <c r="B112" s="16" t="s">
        <v>409</v>
      </c>
      <c r="C112" s="26" t="s">
        <v>179</v>
      </c>
      <c r="D112" s="27" t="s">
        <v>6</v>
      </c>
      <c r="E112" s="27">
        <v>2</v>
      </c>
      <c r="F112" s="128">
        <f>'2023.'!P112</f>
        <v>1</v>
      </c>
      <c r="G112" s="128">
        <f>'2023.'!Q112</f>
        <v>2</v>
      </c>
      <c r="H112" s="128">
        <f t="shared" si="20"/>
        <v>1.0833333333333333</v>
      </c>
      <c r="I112" s="128">
        <f t="shared" si="21"/>
        <v>2.1666666666666665</v>
      </c>
      <c r="J112" s="112">
        <f>ROUND('2023.'!J112*1.025,0)</f>
        <v>13</v>
      </c>
      <c r="K112" s="112">
        <f t="shared" si="29"/>
        <v>26</v>
      </c>
      <c r="L112" s="110">
        <v>12</v>
      </c>
      <c r="M112" s="112">
        <f t="shared" si="24"/>
        <v>24</v>
      </c>
      <c r="N112" s="37">
        <f>'2023.'!N112*1.025</f>
        <v>296.19220000000001</v>
      </c>
      <c r="O112" s="21">
        <f t="shared" si="22"/>
        <v>7108.6128000000008</v>
      </c>
      <c r="P112" s="128">
        <f t="shared" si="23"/>
        <v>1</v>
      </c>
      <c r="Q112" s="128">
        <f t="shared" si="23"/>
        <v>2</v>
      </c>
    </row>
    <row r="113" spans="1:17" ht="15" customHeight="1" x14ac:dyDescent="0.3">
      <c r="A113" s="16">
        <v>102</v>
      </c>
      <c r="B113" s="16" t="s">
        <v>409</v>
      </c>
      <c r="C113" s="26" t="s">
        <v>181</v>
      </c>
      <c r="D113" s="27" t="s">
        <v>6</v>
      </c>
      <c r="E113" s="27">
        <v>2</v>
      </c>
      <c r="F113" s="128">
        <f>'2023.'!P113</f>
        <v>1</v>
      </c>
      <c r="G113" s="128">
        <f>'2023.'!Q113</f>
        <v>2</v>
      </c>
      <c r="H113" s="128">
        <f t="shared" si="20"/>
        <v>1.0833333333333333</v>
      </c>
      <c r="I113" s="128">
        <f t="shared" si="21"/>
        <v>2.1666666666666665</v>
      </c>
      <c r="J113" s="112">
        <f>ROUND('2023.'!J113*1.025,0)</f>
        <v>13</v>
      </c>
      <c r="K113" s="112">
        <f t="shared" si="29"/>
        <v>26</v>
      </c>
      <c r="L113" s="110">
        <v>12</v>
      </c>
      <c r="M113" s="112">
        <f t="shared" si="24"/>
        <v>24</v>
      </c>
      <c r="N113" s="37">
        <f>'2023.'!N113*1.025</f>
        <v>164.17066249999996</v>
      </c>
      <c r="O113" s="21">
        <f t="shared" si="22"/>
        <v>3940.0958999999993</v>
      </c>
      <c r="P113" s="128">
        <f t="shared" si="23"/>
        <v>1</v>
      </c>
      <c r="Q113" s="128">
        <f t="shared" si="23"/>
        <v>2</v>
      </c>
    </row>
    <row r="114" spans="1:17" s="15" customFormat="1" ht="15" customHeight="1" x14ac:dyDescent="0.3">
      <c r="A114" s="257" t="s">
        <v>405</v>
      </c>
      <c r="B114" s="257"/>
      <c r="C114" s="257"/>
      <c r="D114" s="257"/>
      <c r="E114" s="257"/>
      <c r="F114" s="126">
        <f>'2023.'!P114</f>
        <v>7</v>
      </c>
      <c r="G114" s="126">
        <f>'2023.'!Q114</f>
        <v>7</v>
      </c>
      <c r="H114" s="126">
        <f t="shared" si="20"/>
        <v>33.416666666666664</v>
      </c>
      <c r="I114" s="126">
        <f t="shared" si="21"/>
        <v>33.416666666666664</v>
      </c>
      <c r="J114" s="126">
        <f t="shared" ref="J114:Q114" si="30">SUM(J115:J131)</f>
        <v>401</v>
      </c>
      <c r="K114" s="126">
        <f t="shared" si="30"/>
        <v>401</v>
      </c>
      <c r="L114" s="126">
        <f t="shared" si="30"/>
        <v>387</v>
      </c>
      <c r="M114" s="126">
        <f t="shared" ref="M114" si="31">SUM(M115:M131)</f>
        <v>387</v>
      </c>
      <c r="N114" s="38" t="s">
        <v>426</v>
      </c>
      <c r="O114" s="25">
        <f t="shared" si="30"/>
        <v>64615.391662500006</v>
      </c>
      <c r="P114" s="126">
        <f t="shared" si="30"/>
        <v>14</v>
      </c>
      <c r="Q114" s="126">
        <f t="shared" si="30"/>
        <v>14</v>
      </c>
    </row>
    <row r="115" spans="1:17" ht="15" customHeight="1" x14ac:dyDescent="0.3">
      <c r="A115" s="28">
        <v>103</v>
      </c>
      <c r="B115" s="28" t="s">
        <v>410</v>
      </c>
      <c r="C115" s="26" t="s">
        <v>182</v>
      </c>
      <c r="D115" s="27" t="s">
        <v>6</v>
      </c>
      <c r="E115" s="27">
        <v>0.5</v>
      </c>
      <c r="F115" s="128">
        <f>'2023.'!P115</f>
        <v>0</v>
      </c>
      <c r="G115" s="128">
        <f>'2023.'!Q115</f>
        <v>0</v>
      </c>
      <c r="H115" s="128">
        <f t="shared" si="20"/>
        <v>0.75</v>
      </c>
      <c r="I115" s="128">
        <f t="shared" si="21"/>
        <v>0.75</v>
      </c>
      <c r="J115" s="112">
        <f>ROUND('2023.'!J115*1.025,0)</f>
        <v>9</v>
      </c>
      <c r="K115" s="112">
        <f t="shared" ref="K115" si="32">ROUND(IF(F115=0,J115,J115*(G115/F115)),0)</f>
        <v>9</v>
      </c>
      <c r="L115" s="110">
        <v>9</v>
      </c>
      <c r="M115" s="112">
        <f t="shared" si="24"/>
        <v>9</v>
      </c>
      <c r="N115" s="37">
        <f>'2023.'!N115*1.025</f>
        <v>138.74553749999995</v>
      </c>
      <c r="O115" s="21">
        <f t="shared" si="22"/>
        <v>1248.7098374999996</v>
      </c>
      <c r="P115" s="128">
        <f t="shared" si="23"/>
        <v>0</v>
      </c>
      <c r="Q115" s="128">
        <f t="shared" si="23"/>
        <v>0</v>
      </c>
    </row>
    <row r="116" spans="1:17" ht="29.4" customHeight="1" x14ac:dyDescent="0.3">
      <c r="A116" s="28">
        <v>104</v>
      </c>
      <c r="B116" s="28" t="s">
        <v>410</v>
      </c>
      <c r="C116" s="26" t="s">
        <v>183</v>
      </c>
      <c r="D116" s="27" t="s">
        <v>6</v>
      </c>
      <c r="E116" s="27">
        <v>0.5</v>
      </c>
      <c r="F116" s="128">
        <f>'2023.'!P116</f>
        <v>0</v>
      </c>
      <c r="G116" s="128">
        <f>'2023.'!Q116</f>
        <v>0</v>
      </c>
      <c r="H116" s="128">
        <f t="shared" si="20"/>
        <v>0.75</v>
      </c>
      <c r="I116" s="128">
        <f t="shared" si="21"/>
        <v>0.75</v>
      </c>
      <c r="J116" s="112">
        <f>ROUND('2023.'!J116*1.025,0)</f>
        <v>9</v>
      </c>
      <c r="K116" s="112">
        <f t="shared" ref="K116:K131" si="33">ROUND(IF(F116=0,J116,J116*(G116/F116)),0)</f>
        <v>9</v>
      </c>
      <c r="L116" s="110">
        <v>9</v>
      </c>
      <c r="M116" s="112">
        <f t="shared" si="24"/>
        <v>9</v>
      </c>
      <c r="N116" s="37">
        <f>'2023.'!N116*1.025</f>
        <v>171.95579374999997</v>
      </c>
      <c r="O116" s="21">
        <f t="shared" si="22"/>
        <v>1547.6021437499996</v>
      </c>
      <c r="P116" s="128">
        <f t="shared" si="23"/>
        <v>0</v>
      </c>
      <c r="Q116" s="128">
        <f t="shared" si="23"/>
        <v>0</v>
      </c>
    </row>
    <row r="117" spans="1:17" ht="29.4" customHeight="1" x14ac:dyDescent="0.3">
      <c r="A117" s="28">
        <v>105</v>
      </c>
      <c r="B117" s="28" t="s">
        <v>410</v>
      </c>
      <c r="C117" s="26" t="s">
        <v>184</v>
      </c>
      <c r="D117" s="27" t="s">
        <v>6</v>
      </c>
      <c r="E117" s="27">
        <v>0.5</v>
      </c>
      <c r="F117" s="128">
        <f>'2023.'!P117</f>
        <v>0</v>
      </c>
      <c r="G117" s="128">
        <f>'2023.'!Q117</f>
        <v>0</v>
      </c>
      <c r="H117" s="128">
        <f t="shared" si="20"/>
        <v>0.75</v>
      </c>
      <c r="I117" s="128">
        <f t="shared" si="21"/>
        <v>0.75</v>
      </c>
      <c r="J117" s="112">
        <f>ROUND('2023.'!J117*1.025,0)</f>
        <v>9</v>
      </c>
      <c r="K117" s="112">
        <f t="shared" si="33"/>
        <v>9</v>
      </c>
      <c r="L117" s="110">
        <v>9</v>
      </c>
      <c r="M117" s="112">
        <f t="shared" si="24"/>
        <v>9</v>
      </c>
      <c r="N117" s="37">
        <f>'2023.'!N117*1.025</f>
        <v>206.34275</v>
      </c>
      <c r="O117" s="21">
        <f t="shared" si="22"/>
        <v>1857.08475</v>
      </c>
      <c r="P117" s="128">
        <f t="shared" si="23"/>
        <v>0</v>
      </c>
      <c r="Q117" s="128">
        <f t="shared" si="23"/>
        <v>0</v>
      </c>
    </row>
    <row r="118" spans="1:17" ht="15" customHeight="1" x14ac:dyDescent="0.3">
      <c r="A118" s="28">
        <v>106</v>
      </c>
      <c r="B118" s="28" t="s">
        <v>410</v>
      </c>
      <c r="C118" s="26" t="s">
        <v>185</v>
      </c>
      <c r="D118" s="27" t="s">
        <v>6</v>
      </c>
      <c r="E118" s="27">
        <v>0.5</v>
      </c>
      <c r="F118" s="128">
        <f>'2023.'!P118</f>
        <v>1</v>
      </c>
      <c r="G118" s="128">
        <f>'2023.'!Q118</f>
        <v>1</v>
      </c>
      <c r="H118" s="128">
        <f t="shared" si="20"/>
        <v>2.6666666666666665</v>
      </c>
      <c r="I118" s="128">
        <f t="shared" si="21"/>
        <v>2.6666666666666665</v>
      </c>
      <c r="J118" s="112">
        <f>ROUND('2023.'!J118*1.025,0)</f>
        <v>32</v>
      </c>
      <c r="K118" s="112">
        <f t="shared" si="33"/>
        <v>32</v>
      </c>
      <c r="L118" s="110">
        <v>30</v>
      </c>
      <c r="M118" s="112">
        <f t="shared" si="24"/>
        <v>30</v>
      </c>
      <c r="N118" s="37">
        <f>'2023.'!N118*1.025</f>
        <v>103.171375</v>
      </c>
      <c r="O118" s="21">
        <f t="shared" si="22"/>
        <v>3095.1412500000001</v>
      </c>
      <c r="P118" s="128">
        <f t="shared" si="23"/>
        <v>2</v>
      </c>
      <c r="Q118" s="128">
        <f t="shared" si="23"/>
        <v>2</v>
      </c>
    </row>
    <row r="119" spans="1:17" ht="15" customHeight="1" x14ac:dyDescent="0.3">
      <c r="A119" s="28">
        <v>107</v>
      </c>
      <c r="B119" s="28" t="s">
        <v>410</v>
      </c>
      <c r="C119" s="26" t="s">
        <v>186</v>
      </c>
      <c r="D119" s="27" t="s">
        <v>6</v>
      </c>
      <c r="E119" s="27">
        <v>0.5</v>
      </c>
      <c r="F119" s="128">
        <f>'2023.'!P119</f>
        <v>1</v>
      </c>
      <c r="G119" s="128">
        <f>'2023.'!Q119</f>
        <v>1</v>
      </c>
      <c r="H119" s="128">
        <f t="shared" si="20"/>
        <v>2.6666666666666665</v>
      </c>
      <c r="I119" s="128">
        <f t="shared" si="21"/>
        <v>2.6666666666666665</v>
      </c>
      <c r="J119" s="112">
        <f>ROUND('2023.'!J119*1.025,0)</f>
        <v>32</v>
      </c>
      <c r="K119" s="112">
        <f t="shared" si="33"/>
        <v>32</v>
      </c>
      <c r="L119" s="110">
        <v>30</v>
      </c>
      <c r="M119" s="112">
        <f t="shared" si="24"/>
        <v>30</v>
      </c>
      <c r="N119" s="37">
        <f>'2023.'!N119*1.025</f>
        <v>103.171375</v>
      </c>
      <c r="O119" s="21">
        <f t="shared" si="22"/>
        <v>3095.1412500000001</v>
      </c>
      <c r="P119" s="128">
        <f t="shared" si="23"/>
        <v>2</v>
      </c>
      <c r="Q119" s="128">
        <f t="shared" si="23"/>
        <v>2</v>
      </c>
    </row>
    <row r="120" spans="1:17" ht="15" customHeight="1" x14ac:dyDescent="0.3">
      <c r="A120" s="28">
        <v>108</v>
      </c>
      <c r="B120" s="28" t="s">
        <v>410</v>
      </c>
      <c r="C120" s="26" t="s">
        <v>187</v>
      </c>
      <c r="D120" s="27" t="s">
        <v>6</v>
      </c>
      <c r="E120" s="27">
        <v>0.5</v>
      </c>
      <c r="F120" s="128">
        <f>'2023.'!P120</f>
        <v>5</v>
      </c>
      <c r="G120" s="128">
        <f>'2023.'!Q120</f>
        <v>5</v>
      </c>
      <c r="H120" s="128">
        <f t="shared" si="20"/>
        <v>17.583333333333332</v>
      </c>
      <c r="I120" s="128">
        <f t="shared" si="21"/>
        <v>17.583333333333332</v>
      </c>
      <c r="J120" s="112">
        <f>ROUND('2023.'!J120*1.025,0)</f>
        <v>211</v>
      </c>
      <c r="K120" s="112">
        <f t="shared" si="33"/>
        <v>211</v>
      </c>
      <c r="L120" s="110">
        <v>201</v>
      </c>
      <c r="M120" s="112">
        <f t="shared" si="24"/>
        <v>201</v>
      </c>
      <c r="N120" s="37">
        <f>'2023.'!N120*1.025</f>
        <v>189.15452499999995</v>
      </c>
      <c r="O120" s="21">
        <f t="shared" si="22"/>
        <v>38020.05952499999</v>
      </c>
      <c r="P120" s="128">
        <f t="shared" si="23"/>
        <v>10</v>
      </c>
      <c r="Q120" s="128">
        <f t="shared" si="23"/>
        <v>10</v>
      </c>
    </row>
    <row r="121" spans="1:17" ht="15" customHeight="1" x14ac:dyDescent="0.3">
      <c r="A121" s="28">
        <v>109</v>
      </c>
      <c r="B121" s="28" t="s">
        <v>410</v>
      </c>
      <c r="C121" s="26" t="s">
        <v>188</v>
      </c>
      <c r="D121" s="27" t="s">
        <v>6</v>
      </c>
      <c r="E121" s="27">
        <v>0.5</v>
      </c>
      <c r="F121" s="128">
        <f>'2023.'!P121</f>
        <v>0</v>
      </c>
      <c r="G121" s="128">
        <f>'2023.'!Q121</f>
        <v>0</v>
      </c>
      <c r="H121" s="128">
        <f t="shared" si="20"/>
        <v>0.75</v>
      </c>
      <c r="I121" s="128">
        <f t="shared" si="21"/>
        <v>0.75</v>
      </c>
      <c r="J121" s="112">
        <f>ROUND('2023.'!J121*1.025,0)</f>
        <v>9</v>
      </c>
      <c r="K121" s="112">
        <f t="shared" si="33"/>
        <v>9</v>
      </c>
      <c r="L121" s="110">
        <v>9</v>
      </c>
      <c r="M121" s="112">
        <f t="shared" si="24"/>
        <v>9</v>
      </c>
      <c r="N121" s="37">
        <f>'2023.'!N121*1.025</f>
        <v>137.56883749999997</v>
      </c>
      <c r="O121" s="21">
        <f t="shared" si="22"/>
        <v>1238.1195374999998</v>
      </c>
      <c r="P121" s="128">
        <f t="shared" si="23"/>
        <v>0</v>
      </c>
      <c r="Q121" s="128">
        <f t="shared" si="23"/>
        <v>0</v>
      </c>
    </row>
    <row r="122" spans="1:17" ht="23.4" customHeight="1" x14ac:dyDescent="0.3">
      <c r="A122" s="28">
        <v>110</v>
      </c>
      <c r="B122" s="28" t="s">
        <v>410</v>
      </c>
      <c r="C122" s="26" t="s">
        <v>189</v>
      </c>
      <c r="D122" s="27" t="s">
        <v>6</v>
      </c>
      <c r="E122" s="27">
        <v>0.5</v>
      </c>
      <c r="F122" s="128">
        <f>'2023.'!P122</f>
        <v>0</v>
      </c>
      <c r="G122" s="128">
        <f>'2023.'!Q122</f>
        <v>0</v>
      </c>
      <c r="H122" s="128">
        <f t="shared" si="20"/>
        <v>0.75</v>
      </c>
      <c r="I122" s="128">
        <f t="shared" si="21"/>
        <v>0.75</v>
      </c>
      <c r="J122" s="112">
        <f>ROUND('2023.'!J122*1.025,0)</f>
        <v>9</v>
      </c>
      <c r="K122" s="112">
        <f t="shared" si="33"/>
        <v>9</v>
      </c>
      <c r="L122" s="110">
        <v>9</v>
      </c>
      <c r="M122" s="112">
        <f t="shared" si="24"/>
        <v>9</v>
      </c>
      <c r="N122" s="37">
        <f>'2023.'!N122*1.025</f>
        <v>171.95579374999997</v>
      </c>
      <c r="O122" s="21">
        <f t="shared" si="22"/>
        <v>1547.6021437499996</v>
      </c>
      <c r="P122" s="128">
        <f t="shared" si="23"/>
        <v>0</v>
      </c>
      <c r="Q122" s="128">
        <f t="shared" si="23"/>
        <v>0</v>
      </c>
    </row>
    <row r="123" spans="1:17" ht="15" customHeight="1" x14ac:dyDescent="0.3">
      <c r="A123" s="28">
        <v>111</v>
      </c>
      <c r="B123" s="28" t="s">
        <v>410</v>
      </c>
      <c r="C123" s="26" t="s">
        <v>190</v>
      </c>
      <c r="D123" s="27" t="s">
        <v>6</v>
      </c>
      <c r="E123" s="27">
        <v>0.5</v>
      </c>
      <c r="F123" s="128">
        <f>'2023.'!P123</f>
        <v>0</v>
      </c>
      <c r="G123" s="128">
        <f>'2023.'!Q123</f>
        <v>0</v>
      </c>
      <c r="H123" s="128">
        <f t="shared" si="20"/>
        <v>0.75</v>
      </c>
      <c r="I123" s="128">
        <f t="shared" si="21"/>
        <v>0.75</v>
      </c>
      <c r="J123" s="112">
        <f>ROUND('2023.'!J123*1.025,0)</f>
        <v>9</v>
      </c>
      <c r="K123" s="112">
        <f t="shared" si="33"/>
        <v>9</v>
      </c>
      <c r="L123" s="110">
        <v>9</v>
      </c>
      <c r="M123" s="112">
        <f t="shared" si="24"/>
        <v>9</v>
      </c>
      <c r="N123" s="37">
        <f>'2023.'!N123*1.025</f>
        <v>171.95579374999997</v>
      </c>
      <c r="O123" s="21">
        <f t="shared" si="22"/>
        <v>1547.6021437499996</v>
      </c>
      <c r="P123" s="128">
        <f t="shared" si="23"/>
        <v>0</v>
      </c>
      <c r="Q123" s="128">
        <f t="shared" si="23"/>
        <v>0</v>
      </c>
    </row>
    <row r="124" spans="1:17" ht="15" customHeight="1" x14ac:dyDescent="0.3">
      <c r="A124" s="28">
        <v>112</v>
      </c>
      <c r="B124" s="28" t="s">
        <v>410</v>
      </c>
      <c r="C124" s="26" t="s">
        <v>191</v>
      </c>
      <c r="D124" s="27" t="s">
        <v>6</v>
      </c>
      <c r="E124" s="27">
        <v>0.5</v>
      </c>
      <c r="F124" s="128">
        <f>'2023.'!P124</f>
        <v>0</v>
      </c>
      <c r="G124" s="128">
        <f>'2023.'!Q124</f>
        <v>0</v>
      </c>
      <c r="H124" s="128">
        <f t="shared" si="20"/>
        <v>0.75</v>
      </c>
      <c r="I124" s="128">
        <f t="shared" si="21"/>
        <v>0.75</v>
      </c>
      <c r="J124" s="112">
        <f>ROUND('2023.'!J124*1.025,0)</f>
        <v>9</v>
      </c>
      <c r="K124" s="112">
        <f t="shared" si="33"/>
        <v>9</v>
      </c>
      <c r="L124" s="110">
        <v>9</v>
      </c>
      <c r="M124" s="112">
        <f t="shared" si="24"/>
        <v>9</v>
      </c>
      <c r="N124" s="37">
        <f>'2023.'!N124*1.025</f>
        <v>206.34275</v>
      </c>
      <c r="O124" s="21">
        <f t="shared" si="22"/>
        <v>1857.08475</v>
      </c>
      <c r="P124" s="128">
        <f t="shared" si="23"/>
        <v>0</v>
      </c>
      <c r="Q124" s="128">
        <f t="shared" si="23"/>
        <v>0</v>
      </c>
    </row>
    <row r="125" spans="1:17" ht="28.25" customHeight="1" x14ac:dyDescent="0.3">
      <c r="A125" s="28">
        <v>113</v>
      </c>
      <c r="B125" s="28" t="s">
        <v>410</v>
      </c>
      <c r="C125" s="26" t="s">
        <v>192</v>
      </c>
      <c r="D125" s="27" t="s">
        <v>6</v>
      </c>
      <c r="E125" s="27">
        <v>0.5</v>
      </c>
      <c r="F125" s="128">
        <f>'2023.'!P125</f>
        <v>0</v>
      </c>
      <c r="G125" s="128">
        <f>'2023.'!Q125</f>
        <v>0</v>
      </c>
      <c r="H125" s="128">
        <f t="shared" si="20"/>
        <v>0.75</v>
      </c>
      <c r="I125" s="128">
        <f t="shared" si="21"/>
        <v>0.75</v>
      </c>
      <c r="J125" s="112">
        <f>ROUND('2023.'!J125*1.025,0)</f>
        <v>9</v>
      </c>
      <c r="K125" s="112">
        <f t="shared" si="33"/>
        <v>9</v>
      </c>
      <c r="L125" s="110">
        <v>9</v>
      </c>
      <c r="M125" s="112">
        <f t="shared" si="24"/>
        <v>9</v>
      </c>
      <c r="N125" s="37">
        <f>'2023.'!N125*1.025</f>
        <v>214.32749999999999</v>
      </c>
      <c r="O125" s="21">
        <f t="shared" si="22"/>
        <v>1928.9474999999998</v>
      </c>
      <c r="P125" s="128">
        <f t="shared" si="23"/>
        <v>0</v>
      </c>
      <c r="Q125" s="128">
        <f t="shared" si="23"/>
        <v>0</v>
      </c>
    </row>
    <row r="126" spans="1:17" ht="15" customHeight="1" x14ac:dyDescent="0.3">
      <c r="A126" s="28">
        <v>114</v>
      </c>
      <c r="B126" s="28" t="s">
        <v>410</v>
      </c>
      <c r="C126" s="26" t="s">
        <v>193</v>
      </c>
      <c r="D126" s="27" t="s">
        <v>6</v>
      </c>
      <c r="E126" s="27">
        <v>0.5</v>
      </c>
      <c r="F126" s="128">
        <f>'2023.'!P126</f>
        <v>0</v>
      </c>
      <c r="G126" s="128">
        <f>'2023.'!Q126</f>
        <v>0</v>
      </c>
      <c r="H126" s="128">
        <f t="shared" si="20"/>
        <v>0.75</v>
      </c>
      <c r="I126" s="128">
        <f t="shared" si="21"/>
        <v>0.75</v>
      </c>
      <c r="J126" s="112">
        <f>ROUND('2023.'!J126*1.025,0)</f>
        <v>9</v>
      </c>
      <c r="K126" s="112">
        <f t="shared" si="33"/>
        <v>9</v>
      </c>
      <c r="L126" s="110">
        <v>9</v>
      </c>
      <c r="M126" s="112">
        <f t="shared" si="24"/>
        <v>9</v>
      </c>
      <c r="N126" s="37">
        <f>'2023.'!N126*1.025</f>
        <v>171.95579374999997</v>
      </c>
      <c r="O126" s="21">
        <f t="shared" si="22"/>
        <v>1547.6021437499996</v>
      </c>
      <c r="P126" s="128">
        <f t="shared" si="23"/>
        <v>0</v>
      </c>
      <c r="Q126" s="128">
        <f t="shared" si="23"/>
        <v>0</v>
      </c>
    </row>
    <row r="127" spans="1:17" ht="15" customHeight="1" x14ac:dyDescent="0.3">
      <c r="A127" s="28">
        <v>115</v>
      </c>
      <c r="B127" s="28" t="s">
        <v>410</v>
      </c>
      <c r="C127" s="26" t="s">
        <v>194</v>
      </c>
      <c r="D127" s="27" t="s">
        <v>6</v>
      </c>
      <c r="E127" s="27">
        <v>0.5</v>
      </c>
      <c r="F127" s="128">
        <f>'2023.'!P127</f>
        <v>0</v>
      </c>
      <c r="G127" s="128">
        <f>'2023.'!Q127</f>
        <v>0</v>
      </c>
      <c r="H127" s="128">
        <f t="shared" si="20"/>
        <v>0.75</v>
      </c>
      <c r="I127" s="128">
        <f t="shared" si="21"/>
        <v>0.75</v>
      </c>
      <c r="J127" s="112">
        <f>ROUND('2023.'!J127*1.025,0)</f>
        <v>9</v>
      </c>
      <c r="K127" s="112">
        <f t="shared" si="33"/>
        <v>9</v>
      </c>
      <c r="L127" s="110">
        <v>9</v>
      </c>
      <c r="M127" s="112">
        <f t="shared" si="24"/>
        <v>9</v>
      </c>
      <c r="N127" s="37">
        <f>'2023.'!N127*1.025</f>
        <v>132.50482499999998</v>
      </c>
      <c r="O127" s="21">
        <f t="shared" si="22"/>
        <v>1192.5434249999998</v>
      </c>
      <c r="P127" s="128">
        <f t="shared" si="23"/>
        <v>0</v>
      </c>
      <c r="Q127" s="128">
        <f t="shared" si="23"/>
        <v>0</v>
      </c>
    </row>
    <row r="128" spans="1:17" ht="15" customHeight="1" x14ac:dyDescent="0.3">
      <c r="A128" s="28">
        <v>116</v>
      </c>
      <c r="B128" s="28" t="s">
        <v>410</v>
      </c>
      <c r="C128" s="26" t="s">
        <v>195</v>
      </c>
      <c r="D128" s="27" t="s">
        <v>6</v>
      </c>
      <c r="E128" s="27">
        <v>0.5</v>
      </c>
      <c r="F128" s="128">
        <f>'2023.'!P128</f>
        <v>0</v>
      </c>
      <c r="G128" s="128">
        <f>'2023.'!Q128</f>
        <v>0</v>
      </c>
      <c r="H128" s="128">
        <f t="shared" si="20"/>
        <v>0.75</v>
      </c>
      <c r="I128" s="128">
        <f t="shared" si="21"/>
        <v>0.75</v>
      </c>
      <c r="J128" s="112">
        <f>ROUND('2023.'!J128*1.025,0)</f>
        <v>9</v>
      </c>
      <c r="K128" s="112">
        <f t="shared" si="33"/>
        <v>9</v>
      </c>
      <c r="L128" s="110">
        <v>9</v>
      </c>
      <c r="M128" s="112">
        <f t="shared" si="24"/>
        <v>9</v>
      </c>
      <c r="N128" s="37">
        <f>'2023.'!N128*1.025</f>
        <v>77.37853124999998</v>
      </c>
      <c r="O128" s="21">
        <f t="shared" si="22"/>
        <v>696.40678124999977</v>
      </c>
      <c r="P128" s="128">
        <f t="shared" si="23"/>
        <v>0</v>
      </c>
      <c r="Q128" s="128">
        <f t="shared" si="23"/>
        <v>0</v>
      </c>
    </row>
    <row r="129" spans="1:17" ht="25.75" customHeight="1" x14ac:dyDescent="0.3">
      <c r="A129" s="28">
        <v>117</v>
      </c>
      <c r="B129" s="28" t="s">
        <v>410</v>
      </c>
      <c r="C129" s="26" t="s">
        <v>196</v>
      </c>
      <c r="D129" s="27" t="s">
        <v>6</v>
      </c>
      <c r="E129" s="27">
        <v>0.5</v>
      </c>
      <c r="F129" s="128">
        <f>'2023.'!P129</f>
        <v>0</v>
      </c>
      <c r="G129" s="128">
        <f>'2023.'!Q129</f>
        <v>0</v>
      </c>
      <c r="H129" s="128">
        <f t="shared" si="20"/>
        <v>0.75</v>
      </c>
      <c r="I129" s="128">
        <f t="shared" si="21"/>
        <v>0.75</v>
      </c>
      <c r="J129" s="112">
        <f>ROUND('2023.'!J129*1.025,0)</f>
        <v>9</v>
      </c>
      <c r="K129" s="112">
        <f t="shared" si="33"/>
        <v>9</v>
      </c>
      <c r="L129" s="110">
        <v>9</v>
      </c>
      <c r="M129" s="112">
        <f t="shared" si="24"/>
        <v>9</v>
      </c>
      <c r="N129" s="37">
        <f>'2023.'!N129*1.025</f>
        <v>182.46204374999996</v>
      </c>
      <c r="O129" s="21">
        <f t="shared" si="22"/>
        <v>1642.1583937499997</v>
      </c>
      <c r="P129" s="128">
        <f t="shared" si="23"/>
        <v>0</v>
      </c>
      <c r="Q129" s="128">
        <f t="shared" si="23"/>
        <v>0</v>
      </c>
    </row>
    <row r="130" spans="1:17" ht="15" customHeight="1" x14ac:dyDescent="0.3">
      <c r="A130" s="28">
        <v>118</v>
      </c>
      <c r="B130" s="28" t="s">
        <v>410</v>
      </c>
      <c r="C130" s="26" t="s">
        <v>197</v>
      </c>
      <c r="D130" s="27" t="s">
        <v>6</v>
      </c>
      <c r="E130" s="27">
        <v>0.5</v>
      </c>
      <c r="F130" s="128">
        <f>'2023.'!P130</f>
        <v>0</v>
      </c>
      <c r="G130" s="128">
        <f>'2023.'!Q130</f>
        <v>0</v>
      </c>
      <c r="H130" s="128">
        <f t="shared" si="20"/>
        <v>0.75</v>
      </c>
      <c r="I130" s="128">
        <f t="shared" si="21"/>
        <v>0.75</v>
      </c>
      <c r="J130" s="112">
        <f>ROUND('2023.'!J130*1.025,0)</f>
        <v>9</v>
      </c>
      <c r="K130" s="112">
        <f t="shared" si="33"/>
        <v>9</v>
      </c>
      <c r="L130" s="110">
        <v>9</v>
      </c>
      <c r="M130" s="112">
        <f t="shared" si="24"/>
        <v>9</v>
      </c>
      <c r="N130" s="37">
        <f>'2023.'!N130*1.025</f>
        <v>85.983149999999995</v>
      </c>
      <c r="O130" s="21">
        <f t="shared" si="22"/>
        <v>773.84834999999998</v>
      </c>
      <c r="P130" s="128">
        <f t="shared" si="23"/>
        <v>0</v>
      </c>
      <c r="Q130" s="128">
        <f t="shared" si="23"/>
        <v>0</v>
      </c>
    </row>
    <row r="131" spans="1:17" ht="27.65" customHeight="1" x14ac:dyDescent="0.3">
      <c r="A131" s="28">
        <v>119</v>
      </c>
      <c r="B131" s="28" t="s">
        <v>410</v>
      </c>
      <c r="C131" s="26" t="s">
        <v>198</v>
      </c>
      <c r="D131" s="27" t="s">
        <v>6</v>
      </c>
      <c r="E131" s="27">
        <v>0.5</v>
      </c>
      <c r="F131" s="128">
        <f>'2023.'!P131</f>
        <v>0</v>
      </c>
      <c r="G131" s="128">
        <f>'2023.'!Q131</f>
        <v>0</v>
      </c>
      <c r="H131" s="128">
        <f t="shared" si="20"/>
        <v>0.75</v>
      </c>
      <c r="I131" s="128">
        <f t="shared" si="21"/>
        <v>0.75</v>
      </c>
      <c r="J131" s="112">
        <f>ROUND('2023.'!J131*1.025,0)</f>
        <v>9</v>
      </c>
      <c r="K131" s="112">
        <f t="shared" si="33"/>
        <v>9</v>
      </c>
      <c r="L131" s="110">
        <v>9</v>
      </c>
      <c r="M131" s="112">
        <f t="shared" si="24"/>
        <v>9</v>
      </c>
      <c r="N131" s="37">
        <f>'2023.'!N131*1.025</f>
        <v>197.74863749999994</v>
      </c>
      <c r="O131" s="21">
        <f t="shared" si="22"/>
        <v>1779.7377374999994</v>
      </c>
      <c r="P131" s="128">
        <f t="shared" si="23"/>
        <v>0</v>
      </c>
      <c r="Q131" s="128">
        <f t="shared" si="23"/>
        <v>0</v>
      </c>
    </row>
    <row r="132" spans="1:17" s="15" customFormat="1" ht="15" customHeight="1" x14ac:dyDescent="0.3">
      <c r="A132" s="254" t="s">
        <v>199</v>
      </c>
      <c r="B132" s="254"/>
      <c r="C132" s="254"/>
      <c r="D132" s="254"/>
      <c r="E132" s="254"/>
      <c r="F132" s="12">
        <f>'2023.'!P132</f>
        <v>90</v>
      </c>
      <c r="G132" s="12">
        <f>'2023.'!Q132</f>
        <v>94</v>
      </c>
      <c r="H132" s="12">
        <f t="shared" si="20"/>
        <v>78.166666666666671</v>
      </c>
      <c r="I132" s="12">
        <f t="shared" si="21"/>
        <v>81.583333333333329</v>
      </c>
      <c r="J132" s="12">
        <f t="shared" ref="J132:Q132" si="34">SUM(J133:J157)</f>
        <v>938</v>
      </c>
      <c r="K132" s="12">
        <f t="shared" si="34"/>
        <v>979</v>
      </c>
      <c r="L132" s="12">
        <f t="shared" si="34"/>
        <v>829</v>
      </c>
      <c r="M132" s="12">
        <f t="shared" ref="M132" si="35">SUM(M133:M157)</f>
        <v>865</v>
      </c>
      <c r="N132" s="13" t="s">
        <v>426</v>
      </c>
      <c r="O132" s="14">
        <f t="shared" si="34"/>
        <v>1324300.1524687496</v>
      </c>
      <c r="P132" s="12">
        <f t="shared" si="34"/>
        <v>109</v>
      </c>
      <c r="Q132" s="12">
        <f t="shared" si="34"/>
        <v>114</v>
      </c>
    </row>
    <row r="133" spans="1:17" ht="14.5" x14ac:dyDescent="0.3">
      <c r="A133" s="16">
        <v>120</v>
      </c>
      <c r="B133" s="16">
        <v>4</v>
      </c>
      <c r="C133" s="29" t="s">
        <v>201</v>
      </c>
      <c r="D133" s="24" t="s">
        <v>6</v>
      </c>
      <c r="E133" s="24">
        <v>3</v>
      </c>
      <c r="F133" s="128">
        <f>'2023.'!P133</f>
        <v>1</v>
      </c>
      <c r="G133" s="128">
        <f>'2023.'!Q133</f>
        <v>1</v>
      </c>
      <c r="H133" s="128">
        <f t="shared" si="20"/>
        <v>0.58333333333333337</v>
      </c>
      <c r="I133" s="128">
        <f t="shared" si="21"/>
        <v>0.58333333333333337</v>
      </c>
      <c r="J133" s="112">
        <f>ROUND('2023.'!J133*1.025,0)</f>
        <v>7</v>
      </c>
      <c r="K133" s="112">
        <f t="shared" ref="K133" si="36">ROUND(IF(F133=0,J133,J133*(G133/F133)),0)</f>
        <v>7</v>
      </c>
      <c r="L133" s="110">
        <v>6</v>
      </c>
      <c r="M133" s="112">
        <f t="shared" si="24"/>
        <v>6</v>
      </c>
      <c r="N133" s="37">
        <f>'2023.'!N133*1.025</f>
        <v>1455.1156249999997</v>
      </c>
      <c r="O133" s="21">
        <f t="shared" si="22"/>
        <v>8730.6937499999985</v>
      </c>
      <c r="P133" s="128">
        <f t="shared" si="23"/>
        <v>1</v>
      </c>
      <c r="Q133" s="128">
        <f t="shared" si="23"/>
        <v>1</v>
      </c>
    </row>
    <row r="134" spans="1:17" ht="14.5" x14ac:dyDescent="0.3">
      <c r="A134" s="16">
        <v>121</v>
      </c>
      <c r="B134" s="16">
        <v>4</v>
      </c>
      <c r="C134" s="29" t="s">
        <v>203</v>
      </c>
      <c r="D134" s="24" t="s">
        <v>6</v>
      </c>
      <c r="E134" s="24">
        <v>3</v>
      </c>
      <c r="F134" s="128">
        <f>'2023.'!P134</f>
        <v>0</v>
      </c>
      <c r="G134" s="128">
        <f>'2023.'!Q134</f>
        <v>0</v>
      </c>
      <c r="H134" s="127">
        <f t="shared" si="20"/>
        <v>0.25</v>
      </c>
      <c r="I134" s="127">
        <f t="shared" si="21"/>
        <v>0.25</v>
      </c>
      <c r="J134" s="112">
        <f>ROUND('2023.'!J134*1.025,0)</f>
        <v>3</v>
      </c>
      <c r="K134" s="112">
        <f t="shared" ref="K134:K157" si="37">ROUND(IF(F134=0,J134,J134*(G134/F134)),0)</f>
        <v>3</v>
      </c>
      <c r="L134" s="110">
        <v>3</v>
      </c>
      <c r="M134" s="112">
        <f t="shared" si="24"/>
        <v>3</v>
      </c>
      <c r="N134" s="37">
        <f>'2023.'!N134*1.025</f>
        <v>1389.9453562499998</v>
      </c>
      <c r="O134" s="21">
        <f t="shared" si="22"/>
        <v>4169.836068749999</v>
      </c>
      <c r="P134" s="128">
        <f t="shared" si="23"/>
        <v>0</v>
      </c>
      <c r="Q134" s="128">
        <f t="shared" si="23"/>
        <v>0</v>
      </c>
    </row>
    <row r="135" spans="1:17" ht="14.5" x14ac:dyDescent="0.3">
      <c r="A135" s="16">
        <v>122</v>
      </c>
      <c r="B135" s="16">
        <v>4</v>
      </c>
      <c r="C135" s="29" t="s">
        <v>205</v>
      </c>
      <c r="D135" s="24" t="s">
        <v>6</v>
      </c>
      <c r="E135" s="24">
        <v>3</v>
      </c>
      <c r="F135" s="128">
        <f>'2023.'!P135</f>
        <v>3</v>
      </c>
      <c r="G135" s="128">
        <f>'2023.'!Q135</f>
        <v>3</v>
      </c>
      <c r="H135" s="128">
        <f t="shared" si="20"/>
        <v>2.0833333333333335</v>
      </c>
      <c r="I135" s="128">
        <f t="shared" si="21"/>
        <v>2.0833333333333335</v>
      </c>
      <c r="J135" s="112">
        <f>ROUND('2023.'!J135*1.025,0)</f>
        <v>25</v>
      </c>
      <c r="K135" s="112">
        <f t="shared" si="37"/>
        <v>25</v>
      </c>
      <c r="L135" s="110">
        <v>21</v>
      </c>
      <c r="M135" s="112">
        <f t="shared" si="24"/>
        <v>21</v>
      </c>
      <c r="N135" s="37">
        <f>'2023.'!N135*1.025</f>
        <v>2515.1962499999995</v>
      </c>
      <c r="O135" s="21">
        <f t="shared" si="22"/>
        <v>52819.121249999989</v>
      </c>
      <c r="P135" s="128">
        <f t="shared" si="23"/>
        <v>4</v>
      </c>
      <c r="Q135" s="128">
        <f t="shared" si="23"/>
        <v>4</v>
      </c>
    </row>
    <row r="136" spans="1:17" ht="14.5" x14ac:dyDescent="0.3">
      <c r="A136" s="16">
        <v>123</v>
      </c>
      <c r="B136" s="16">
        <v>4</v>
      </c>
      <c r="C136" s="29" t="s">
        <v>207</v>
      </c>
      <c r="D136" s="24" t="s">
        <v>6</v>
      </c>
      <c r="E136" s="24">
        <v>3</v>
      </c>
      <c r="F136" s="128">
        <f>'2023.'!P136</f>
        <v>0</v>
      </c>
      <c r="G136" s="128">
        <f>'2023.'!Q136</f>
        <v>0</v>
      </c>
      <c r="H136" s="127">
        <f t="shared" ref="H136:H200" si="38">J136/12</f>
        <v>0.25</v>
      </c>
      <c r="I136" s="127">
        <f t="shared" ref="I136:I200" si="39">K136/12</f>
        <v>0.25</v>
      </c>
      <c r="J136" s="112">
        <f>ROUND('2023.'!J136*1.025,0)</f>
        <v>3</v>
      </c>
      <c r="K136" s="112">
        <f t="shared" si="37"/>
        <v>3</v>
      </c>
      <c r="L136" s="110">
        <v>3</v>
      </c>
      <c r="M136" s="112">
        <f t="shared" si="24"/>
        <v>3</v>
      </c>
      <c r="N136" s="37">
        <f>'2023.'!N136*1.025</f>
        <v>1389.9453562499998</v>
      </c>
      <c r="O136" s="21">
        <f t="shared" ref="O136:O200" si="40">N136*M136</f>
        <v>4169.836068749999</v>
      </c>
      <c r="P136" s="128">
        <f t="shared" ref="P136:Q200" si="41">J136-L136</f>
        <v>0</v>
      </c>
      <c r="Q136" s="128">
        <f t="shared" si="41"/>
        <v>0</v>
      </c>
    </row>
    <row r="137" spans="1:17" ht="14.5" x14ac:dyDescent="0.3">
      <c r="A137" s="16">
        <v>124</v>
      </c>
      <c r="B137" s="16">
        <v>4</v>
      </c>
      <c r="C137" s="29" t="s">
        <v>209</v>
      </c>
      <c r="D137" s="24" t="s">
        <v>6</v>
      </c>
      <c r="E137" s="24">
        <v>3</v>
      </c>
      <c r="F137" s="128">
        <f>'2023.'!P137</f>
        <v>1</v>
      </c>
      <c r="G137" s="128">
        <f>'2023.'!Q137</f>
        <v>1</v>
      </c>
      <c r="H137" s="127">
        <f t="shared" si="38"/>
        <v>0.33333333333333331</v>
      </c>
      <c r="I137" s="127">
        <f t="shared" si="39"/>
        <v>0.33333333333333331</v>
      </c>
      <c r="J137" s="112">
        <f>ROUND('2023.'!J137*1.025,0)</f>
        <v>4</v>
      </c>
      <c r="K137" s="112">
        <f t="shared" si="37"/>
        <v>4</v>
      </c>
      <c r="L137" s="110">
        <v>3</v>
      </c>
      <c r="M137" s="112">
        <f t="shared" si="24"/>
        <v>3</v>
      </c>
      <c r="N137" s="37">
        <f>'2023.'!N137*1.025</f>
        <v>2994.2812499999991</v>
      </c>
      <c r="O137" s="21">
        <f t="shared" si="40"/>
        <v>8982.8437499999964</v>
      </c>
      <c r="P137" s="128">
        <f t="shared" si="41"/>
        <v>1</v>
      </c>
      <c r="Q137" s="128">
        <f t="shared" si="41"/>
        <v>1</v>
      </c>
    </row>
    <row r="138" spans="1:17" ht="14.5" x14ac:dyDescent="0.3">
      <c r="A138" s="16">
        <v>125</v>
      </c>
      <c r="B138" s="16">
        <v>4</v>
      </c>
      <c r="C138" s="29" t="s">
        <v>211</v>
      </c>
      <c r="D138" s="24" t="s">
        <v>6</v>
      </c>
      <c r="E138" s="24">
        <v>3</v>
      </c>
      <c r="F138" s="128">
        <f>'2023.'!P138</f>
        <v>0</v>
      </c>
      <c r="G138" s="128">
        <f>'2023.'!Q138</f>
        <v>0</v>
      </c>
      <c r="H138" s="127">
        <f t="shared" si="38"/>
        <v>0.25</v>
      </c>
      <c r="I138" s="127">
        <f t="shared" si="39"/>
        <v>0.25</v>
      </c>
      <c r="J138" s="112">
        <f>ROUND('2023.'!J138*1.025,0)</f>
        <v>3</v>
      </c>
      <c r="K138" s="112">
        <f t="shared" si="37"/>
        <v>3</v>
      </c>
      <c r="L138" s="110">
        <v>3</v>
      </c>
      <c r="M138" s="112">
        <f t="shared" si="24"/>
        <v>3</v>
      </c>
      <c r="N138" s="37">
        <f>'2023.'!N138*1.025</f>
        <v>2452.5579874999994</v>
      </c>
      <c r="O138" s="21">
        <f t="shared" si="40"/>
        <v>7357.6739624999982</v>
      </c>
      <c r="P138" s="128">
        <f t="shared" si="41"/>
        <v>0</v>
      </c>
      <c r="Q138" s="128">
        <f t="shared" si="41"/>
        <v>0</v>
      </c>
    </row>
    <row r="139" spans="1:17" ht="27" customHeight="1" x14ac:dyDescent="0.3">
      <c r="A139" s="16">
        <v>126</v>
      </c>
      <c r="B139" s="16">
        <v>4</v>
      </c>
      <c r="C139" s="29" t="s">
        <v>213</v>
      </c>
      <c r="D139" s="24" t="s">
        <v>6</v>
      </c>
      <c r="E139" s="24">
        <v>3</v>
      </c>
      <c r="F139" s="128">
        <f>'2023.'!P139</f>
        <v>0</v>
      </c>
      <c r="G139" s="128">
        <f>'2023.'!Q139</f>
        <v>0</v>
      </c>
      <c r="H139" s="127">
        <f t="shared" si="38"/>
        <v>0.25</v>
      </c>
      <c r="I139" s="127">
        <f t="shared" si="39"/>
        <v>0.25</v>
      </c>
      <c r="J139" s="112">
        <f>ROUND('2023.'!J139*1.025,0)</f>
        <v>3</v>
      </c>
      <c r="K139" s="112">
        <f t="shared" si="37"/>
        <v>3</v>
      </c>
      <c r="L139" s="110">
        <v>3</v>
      </c>
      <c r="M139" s="112">
        <f t="shared" si="24"/>
        <v>3</v>
      </c>
      <c r="N139" s="37">
        <f>'2023.'!N139*1.025</f>
        <v>2889.0191312499996</v>
      </c>
      <c r="O139" s="21">
        <f t="shared" si="40"/>
        <v>8667.0573937499994</v>
      </c>
      <c r="P139" s="128">
        <f t="shared" si="41"/>
        <v>0</v>
      </c>
      <c r="Q139" s="128">
        <f t="shared" si="41"/>
        <v>0</v>
      </c>
    </row>
    <row r="140" spans="1:17" ht="14.5" x14ac:dyDescent="0.3">
      <c r="A140" s="16">
        <v>127</v>
      </c>
      <c r="B140" s="16">
        <v>4</v>
      </c>
      <c r="C140" s="29" t="s">
        <v>215</v>
      </c>
      <c r="D140" s="24" t="s">
        <v>6</v>
      </c>
      <c r="E140" s="24">
        <v>3</v>
      </c>
      <c r="F140" s="128">
        <f>'2023.'!P140</f>
        <v>1</v>
      </c>
      <c r="G140" s="128">
        <f>'2023.'!Q140</f>
        <v>1</v>
      </c>
      <c r="H140" s="127">
        <f t="shared" si="38"/>
        <v>0.33333333333333331</v>
      </c>
      <c r="I140" s="127">
        <f t="shared" si="39"/>
        <v>0.33333333333333331</v>
      </c>
      <c r="J140" s="112">
        <f>ROUND('2023.'!J140*1.025,0)</f>
        <v>4</v>
      </c>
      <c r="K140" s="112">
        <f t="shared" si="37"/>
        <v>4</v>
      </c>
      <c r="L140" s="110">
        <v>3</v>
      </c>
      <c r="M140" s="112">
        <f t="shared" si="24"/>
        <v>3</v>
      </c>
      <c r="N140" s="37">
        <f>'2023.'!N140*1.025</f>
        <v>977.08124999999984</v>
      </c>
      <c r="O140" s="21">
        <f t="shared" si="40"/>
        <v>2931.2437499999996</v>
      </c>
      <c r="P140" s="128">
        <f t="shared" si="41"/>
        <v>1</v>
      </c>
      <c r="Q140" s="128">
        <f t="shared" si="41"/>
        <v>1</v>
      </c>
    </row>
    <row r="141" spans="1:17" ht="14.5" x14ac:dyDescent="0.3">
      <c r="A141" s="16">
        <v>128</v>
      </c>
      <c r="B141" s="16">
        <v>4</v>
      </c>
      <c r="C141" s="29" t="s">
        <v>217</v>
      </c>
      <c r="D141" s="24" t="s">
        <v>6</v>
      </c>
      <c r="E141" s="24">
        <v>3</v>
      </c>
      <c r="F141" s="128">
        <f>'2023.'!P141</f>
        <v>0</v>
      </c>
      <c r="G141" s="128">
        <f>'2023.'!Q141</f>
        <v>0</v>
      </c>
      <c r="H141" s="127">
        <f t="shared" si="38"/>
        <v>0.25</v>
      </c>
      <c r="I141" s="127">
        <f t="shared" si="39"/>
        <v>0.25</v>
      </c>
      <c r="J141" s="112">
        <f>ROUND('2023.'!J141*1.025,0)</f>
        <v>3</v>
      </c>
      <c r="K141" s="112">
        <f t="shared" si="37"/>
        <v>3</v>
      </c>
      <c r="L141" s="110">
        <v>3</v>
      </c>
      <c r="M141" s="112">
        <f t="shared" si="24"/>
        <v>3</v>
      </c>
      <c r="N141" s="37">
        <f>'2023.'!N141*1.025</f>
        <v>607.94415624999988</v>
      </c>
      <c r="O141" s="21">
        <f t="shared" si="40"/>
        <v>1823.8324687499996</v>
      </c>
      <c r="P141" s="128">
        <f t="shared" si="41"/>
        <v>0</v>
      </c>
      <c r="Q141" s="128">
        <f t="shared" si="41"/>
        <v>0</v>
      </c>
    </row>
    <row r="142" spans="1:17" ht="14.5" x14ac:dyDescent="0.3">
      <c r="A142" s="16">
        <v>129</v>
      </c>
      <c r="B142" s="16">
        <v>4</v>
      </c>
      <c r="C142" s="29" t="s">
        <v>219</v>
      </c>
      <c r="D142" s="24" t="s">
        <v>6</v>
      </c>
      <c r="E142" s="24">
        <v>3</v>
      </c>
      <c r="F142" s="128">
        <f>'2023.'!P142</f>
        <v>0</v>
      </c>
      <c r="G142" s="128">
        <f>'2023.'!Q142</f>
        <v>0</v>
      </c>
      <c r="H142" s="128">
        <f t="shared" si="38"/>
        <v>0.5</v>
      </c>
      <c r="I142" s="128">
        <f t="shared" si="39"/>
        <v>0.5</v>
      </c>
      <c r="J142" s="112">
        <f>ROUND('2023.'!J142*1.025,0)</f>
        <v>6</v>
      </c>
      <c r="K142" s="112">
        <f t="shared" si="37"/>
        <v>6</v>
      </c>
      <c r="L142" s="110">
        <v>6</v>
      </c>
      <c r="M142" s="112">
        <f t="shared" si="24"/>
        <v>6</v>
      </c>
      <c r="N142" s="37">
        <f>'2023.'!N142*1.025</f>
        <v>607.94415624999988</v>
      </c>
      <c r="O142" s="21">
        <f t="shared" si="40"/>
        <v>3647.6649374999993</v>
      </c>
      <c r="P142" s="128">
        <f t="shared" si="41"/>
        <v>0</v>
      </c>
      <c r="Q142" s="128">
        <f t="shared" si="41"/>
        <v>0</v>
      </c>
    </row>
    <row r="143" spans="1:17" ht="14.5" x14ac:dyDescent="0.3">
      <c r="A143" s="16">
        <v>130</v>
      </c>
      <c r="B143" s="16">
        <v>4</v>
      </c>
      <c r="C143" s="29" t="s">
        <v>221</v>
      </c>
      <c r="D143" s="24" t="s">
        <v>6</v>
      </c>
      <c r="E143" s="24">
        <v>3</v>
      </c>
      <c r="F143" s="128">
        <f>'2023.'!P143</f>
        <v>0</v>
      </c>
      <c r="G143" s="128">
        <f>'2023.'!Q143</f>
        <v>0</v>
      </c>
      <c r="H143" s="128">
        <f t="shared" si="38"/>
        <v>0.5</v>
      </c>
      <c r="I143" s="128">
        <f t="shared" si="39"/>
        <v>0.5</v>
      </c>
      <c r="J143" s="112">
        <f>ROUND('2023.'!J143*1.025,0)</f>
        <v>6</v>
      </c>
      <c r="K143" s="112">
        <f t="shared" si="37"/>
        <v>6</v>
      </c>
      <c r="L143" s="110">
        <v>6</v>
      </c>
      <c r="M143" s="112">
        <f t="shared" si="24"/>
        <v>6</v>
      </c>
      <c r="N143" s="37">
        <f>'2023.'!N143*1.025</f>
        <v>649.51738749999993</v>
      </c>
      <c r="O143" s="21">
        <f t="shared" si="40"/>
        <v>3897.1043249999993</v>
      </c>
      <c r="P143" s="128">
        <f t="shared" si="41"/>
        <v>0</v>
      </c>
      <c r="Q143" s="128">
        <f t="shared" si="41"/>
        <v>0</v>
      </c>
    </row>
    <row r="144" spans="1:17" ht="14.5" x14ac:dyDescent="0.3">
      <c r="A144" s="16">
        <v>131</v>
      </c>
      <c r="B144" s="16">
        <v>4</v>
      </c>
      <c r="C144" s="29" t="s">
        <v>223</v>
      </c>
      <c r="D144" s="24" t="s">
        <v>6</v>
      </c>
      <c r="E144" s="24">
        <v>3</v>
      </c>
      <c r="F144" s="128">
        <f>'2023.'!P144</f>
        <v>0</v>
      </c>
      <c r="G144" s="128">
        <f>'2023.'!Q144</f>
        <v>0</v>
      </c>
      <c r="H144" s="127">
        <f t="shared" si="38"/>
        <v>0.25</v>
      </c>
      <c r="I144" s="127">
        <f t="shared" si="39"/>
        <v>0.25</v>
      </c>
      <c r="J144" s="112">
        <f>ROUND('2023.'!J144*1.025,0)</f>
        <v>3</v>
      </c>
      <c r="K144" s="112">
        <f t="shared" si="37"/>
        <v>3</v>
      </c>
      <c r="L144" s="110">
        <v>3</v>
      </c>
      <c r="M144" s="112">
        <f t="shared" si="24"/>
        <v>3</v>
      </c>
      <c r="N144" s="37">
        <f>'2023.'!N144*1.025</f>
        <v>607.94415624999988</v>
      </c>
      <c r="O144" s="21">
        <f t="shared" si="40"/>
        <v>1823.8324687499996</v>
      </c>
      <c r="P144" s="128">
        <f t="shared" si="41"/>
        <v>0</v>
      </c>
      <c r="Q144" s="128">
        <f t="shared" si="41"/>
        <v>0</v>
      </c>
    </row>
    <row r="145" spans="1:17" ht="14.5" x14ac:dyDescent="0.3">
      <c r="A145" s="16">
        <v>132</v>
      </c>
      <c r="B145" s="16">
        <v>4</v>
      </c>
      <c r="C145" s="29" t="s">
        <v>225</v>
      </c>
      <c r="D145" s="24" t="s">
        <v>6</v>
      </c>
      <c r="E145" s="24">
        <v>3</v>
      </c>
      <c r="F145" s="128">
        <f>'2023.'!P145</f>
        <v>0</v>
      </c>
      <c r="G145" s="128">
        <f>'2023.'!Q145</f>
        <v>0</v>
      </c>
      <c r="H145" s="127">
        <f t="shared" si="38"/>
        <v>0.25</v>
      </c>
      <c r="I145" s="127">
        <f t="shared" si="39"/>
        <v>0.25</v>
      </c>
      <c r="J145" s="112">
        <f>ROUND('2023.'!J145*1.025,0)</f>
        <v>3</v>
      </c>
      <c r="K145" s="112">
        <f t="shared" si="37"/>
        <v>3</v>
      </c>
      <c r="L145" s="110">
        <v>3</v>
      </c>
      <c r="M145" s="112">
        <f t="shared" si="24"/>
        <v>3</v>
      </c>
      <c r="N145" s="37">
        <f>'2023.'!N145*1.025</f>
        <v>987.25129999999979</v>
      </c>
      <c r="O145" s="21">
        <f t="shared" si="40"/>
        <v>2961.7538999999992</v>
      </c>
      <c r="P145" s="128">
        <f t="shared" si="41"/>
        <v>0</v>
      </c>
      <c r="Q145" s="128">
        <f t="shared" si="41"/>
        <v>0</v>
      </c>
    </row>
    <row r="146" spans="1:17" ht="14.5" x14ac:dyDescent="0.3">
      <c r="A146" s="16">
        <v>133</v>
      </c>
      <c r="B146" s="16">
        <v>4</v>
      </c>
      <c r="C146" s="29" t="s">
        <v>226</v>
      </c>
      <c r="D146" s="24" t="s">
        <v>6</v>
      </c>
      <c r="E146" s="24">
        <v>4</v>
      </c>
      <c r="F146" s="128">
        <f>'2023.'!P146</f>
        <v>0</v>
      </c>
      <c r="G146" s="128">
        <f>'2023.'!Q146</f>
        <v>0</v>
      </c>
      <c r="H146" s="127">
        <f t="shared" si="38"/>
        <v>0.25</v>
      </c>
      <c r="I146" s="127">
        <f t="shared" si="39"/>
        <v>0.25</v>
      </c>
      <c r="J146" s="112">
        <f>ROUND('2023.'!J146*1.025,0)</f>
        <v>3</v>
      </c>
      <c r="K146" s="112">
        <f t="shared" si="37"/>
        <v>3</v>
      </c>
      <c r="L146" s="110">
        <v>3</v>
      </c>
      <c r="M146" s="112">
        <f t="shared" ref="M146:M210" si="42">ROUND(IF(F146=0,L146,L146*(G146/F146)),0)</f>
        <v>3</v>
      </c>
      <c r="N146" s="37">
        <f>'2023.'!N146*1.025</f>
        <v>1971.9075562499997</v>
      </c>
      <c r="O146" s="21">
        <f t="shared" si="40"/>
        <v>5915.7226687499988</v>
      </c>
      <c r="P146" s="128">
        <f t="shared" si="41"/>
        <v>0</v>
      </c>
      <c r="Q146" s="128">
        <f t="shared" si="41"/>
        <v>0</v>
      </c>
    </row>
    <row r="147" spans="1:17" ht="14.5" x14ac:dyDescent="0.3">
      <c r="A147" s="16">
        <v>134</v>
      </c>
      <c r="B147" s="16">
        <v>4</v>
      </c>
      <c r="C147" s="29" t="s">
        <v>228</v>
      </c>
      <c r="D147" s="24" t="s">
        <v>6</v>
      </c>
      <c r="E147" s="24">
        <v>3</v>
      </c>
      <c r="F147" s="128">
        <f>'2023.'!P147</f>
        <v>1</v>
      </c>
      <c r="G147" s="128">
        <f>'2023.'!Q147</f>
        <v>1</v>
      </c>
      <c r="H147" s="128">
        <f t="shared" si="38"/>
        <v>0.58333333333333337</v>
      </c>
      <c r="I147" s="128">
        <f t="shared" si="39"/>
        <v>0.58333333333333337</v>
      </c>
      <c r="J147" s="112">
        <f>ROUND('2023.'!J147*1.025,0)</f>
        <v>7</v>
      </c>
      <c r="K147" s="112">
        <f t="shared" si="37"/>
        <v>7</v>
      </c>
      <c r="L147" s="110">
        <v>6</v>
      </c>
      <c r="M147" s="112">
        <f t="shared" si="42"/>
        <v>6</v>
      </c>
      <c r="N147" s="37">
        <f>'2023.'!N147*1.025</f>
        <v>1963.0087624999999</v>
      </c>
      <c r="O147" s="21">
        <f t="shared" si="40"/>
        <v>11778.052575</v>
      </c>
      <c r="P147" s="128">
        <f t="shared" si="41"/>
        <v>1</v>
      </c>
      <c r="Q147" s="128">
        <f t="shared" si="41"/>
        <v>1</v>
      </c>
    </row>
    <row r="148" spans="1:17" ht="14.5" x14ac:dyDescent="0.3">
      <c r="A148" s="16">
        <v>135</v>
      </c>
      <c r="B148" s="16">
        <v>4</v>
      </c>
      <c r="C148" s="29" t="s">
        <v>230</v>
      </c>
      <c r="D148" s="24" t="s">
        <v>6</v>
      </c>
      <c r="E148" s="24">
        <v>3</v>
      </c>
      <c r="F148" s="128">
        <f>'2023.'!P148</f>
        <v>0</v>
      </c>
      <c r="G148" s="128">
        <f>'2023.'!Q148</f>
        <v>0</v>
      </c>
      <c r="H148" s="127">
        <f t="shared" si="38"/>
        <v>0.25</v>
      </c>
      <c r="I148" s="127">
        <f t="shared" si="39"/>
        <v>0.25</v>
      </c>
      <c r="J148" s="112">
        <f>ROUND('2023.'!J148*1.025,0)</f>
        <v>3</v>
      </c>
      <c r="K148" s="112">
        <f t="shared" si="37"/>
        <v>3</v>
      </c>
      <c r="L148" s="110">
        <v>3</v>
      </c>
      <c r="M148" s="112">
        <f t="shared" si="42"/>
        <v>3</v>
      </c>
      <c r="N148" s="37">
        <f>'2023.'!N148*1.025</f>
        <v>2674.9227687499997</v>
      </c>
      <c r="O148" s="21">
        <f t="shared" si="40"/>
        <v>8024.7683062499991</v>
      </c>
      <c r="P148" s="128">
        <f t="shared" si="41"/>
        <v>0</v>
      </c>
      <c r="Q148" s="128">
        <f t="shared" si="41"/>
        <v>0</v>
      </c>
    </row>
    <row r="149" spans="1:17" ht="14.5" x14ac:dyDescent="0.3">
      <c r="A149" s="16">
        <v>136</v>
      </c>
      <c r="B149" s="16">
        <v>4</v>
      </c>
      <c r="C149" s="29" t="s">
        <v>232</v>
      </c>
      <c r="D149" s="24" t="s">
        <v>6</v>
      </c>
      <c r="E149" s="24">
        <v>3</v>
      </c>
      <c r="F149" s="128">
        <f>'2023.'!P149</f>
        <v>13</v>
      </c>
      <c r="G149" s="128">
        <f>'2023.'!Q149</f>
        <v>14</v>
      </c>
      <c r="H149" s="128">
        <f t="shared" si="38"/>
        <v>11.333333333333334</v>
      </c>
      <c r="I149" s="128">
        <f t="shared" si="39"/>
        <v>12.166666666666666</v>
      </c>
      <c r="J149" s="112">
        <f>ROUND('2023.'!J149*1.025,0)</f>
        <v>136</v>
      </c>
      <c r="K149" s="112">
        <f t="shared" si="37"/>
        <v>146</v>
      </c>
      <c r="L149" s="110">
        <v>120</v>
      </c>
      <c r="M149" s="112">
        <f t="shared" si="42"/>
        <v>129</v>
      </c>
      <c r="N149" s="37">
        <f>'2023.'!N149*1.025</f>
        <v>3016.2603249999993</v>
      </c>
      <c r="O149" s="21">
        <f t="shared" si="40"/>
        <v>389097.58192499989</v>
      </c>
      <c r="P149" s="128">
        <f t="shared" si="41"/>
        <v>16</v>
      </c>
      <c r="Q149" s="128">
        <f t="shared" si="41"/>
        <v>17</v>
      </c>
    </row>
    <row r="150" spans="1:17" ht="14.5" x14ac:dyDescent="0.3">
      <c r="A150" s="16">
        <v>137</v>
      </c>
      <c r="B150" s="16">
        <v>4</v>
      </c>
      <c r="C150" s="29" t="s">
        <v>234</v>
      </c>
      <c r="D150" s="24" t="s">
        <v>6</v>
      </c>
      <c r="E150" s="24">
        <v>3</v>
      </c>
      <c r="F150" s="128">
        <f>'2023.'!P150</f>
        <v>1</v>
      </c>
      <c r="G150" s="128">
        <f>'2023.'!Q150</f>
        <v>1</v>
      </c>
      <c r="H150" s="127">
        <f t="shared" si="38"/>
        <v>0.33333333333333331</v>
      </c>
      <c r="I150" s="127">
        <f t="shared" si="39"/>
        <v>0.33333333333333331</v>
      </c>
      <c r="J150" s="112">
        <f>ROUND('2023.'!J150*1.025,0)</f>
        <v>4</v>
      </c>
      <c r="K150" s="112">
        <f t="shared" si="37"/>
        <v>4</v>
      </c>
      <c r="L150" s="110">
        <v>3</v>
      </c>
      <c r="M150" s="112">
        <f t="shared" si="42"/>
        <v>3</v>
      </c>
      <c r="N150" s="37">
        <f>'2023.'!N150*1.025</f>
        <v>4206.8916124999996</v>
      </c>
      <c r="O150" s="21">
        <f t="shared" si="40"/>
        <v>12620.674837499999</v>
      </c>
      <c r="P150" s="128">
        <f t="shared" si="41"/>
        <v>1</v>
      </c>
      <c r="Q150" s="128">
        <f t="shared" si="41"/>
        <v>1</v>
      </c>
    </row>
    <row r="151" spans="1:17" ht="14.5" x14ac:dyDescent="0.3">
      <c r="A151" s="16">
        <v>138</v>
      </c>
      <c r="B151" s="16">
        <v>4</v>
      </c>
      <c r="C151" s="29" t="s">
        <v>236</v>
      </c>
      <c r="D151" s="24" t="s">
        <v>6</v>
      </c>
      <c r="E151" s="24">
        <v>3</v>
      </c>
      <c r="F151" s="128">
        <f>'2023.'!P151</f>
        <v>9</v>
      </c>
      <c r="G151" s="128">
        <f>'2023.'!Q151</f>
        <v>9</v>
      </c>
      <c r="H151" s="128">
        <f t="shared" si="38"/>
        <v>8.1666666666666661</v>
      </c>
      <c r="I151" s="128">
        <f t="shared" si="39"/>
        <v>8.1666666666666661</v>
      </c>
      <c r="J151" s="112">
        <f>ROUND('2023.'!J151*1.025,0)</f>
        <v>98</v>
      </c>
      <c r="K151" s="112">
        <f t="shared" si="37"/>
        <v>98</v>
      </c>
      <c r="L151" s="110">
        <v>87</v>
      </c>
      <c r="M151" s="112">
        <f t="shared" si="42"/>
        <v>87</v>
      </c>
      <c r="N151" s="37">
        <f>'2023.'!N151*1.025</f>
        <v>4465.6080187499992</v>
      </c>
      <c r="O151" s="21">
        <f t="shared" si="40"/>
        <v>388507.89763124991</v>
      </c>
      <c r="P151" s="128">
        <f t="shared" si="41"/>
        <v>11</v>
      </c>
      <c r="Q151" s="128">
        <f t="shared" si="41"/>
        <v>11</v>
      </c>
    </row>
    <row r="152" spans="1:17" ht="14.5" x14ac:dyDescent="0.3">
      <c r="A152" s="16">
        <v>139</v>
      </c>
      <c r="B152" s="16">
        <v>4</v>
      </c>
      <c r="C152" s="29" t="s">
        <v>238</v>
      </c>
      <c r="D152" s="24" t="s">
        <v>6</v>
      </c>
      <c r="E152" s="24">
        <v>3</v>
      </c>
      <c r="F152" s="128">
        <f>'2023.'!P152</f>
        <v>1</v>
      </c>
      <c r="G152" s="128">
        <f>'2023.'!Q152</f>
        <v>1</v>
      </c>
      <c r="H152" s="127">
        <f t="shared" si="38"/>
        <v>0.33333333333333331</v>
      </c>
      <c r="I152" s="127">
        <f t="shared" si="39"/>
        <v>0.33333333333333331</v>
      </c>
      <c r="J152" s="112">
        <f>ROUND('2023.'!J152*1.025,0)</f>
        <v>4</v>
      </c>
      <c r="K152" s="112">
        <f t="shared" si="37"/>
        <v>4</v>
      </c>
      <c r="L152" s="110">
        <v>3</v>
      </c>
      <c r="M152" s="112">
        <f t="shared" si="42"/>
        <v>3</v>
      </c>
      <c r="N152" s="37">
        <f>'2023.'!N152*1.025</f>
        <v>6207.9645187499991</v>
      </c>
      <c r="O152" s="21">
        <f t="shared" si="40"/>
        <v>18623.893556249997</v>
      </c>
      <c r="P152" s="128">
        <f t="shared" si="41"/>
        <v>1</v>
      </c>
      <c r="Q152" s="128">
        <f t="shared" si="41"/>
        <v>1</v>
      </c>
    </row>
    <row r="153" spans="1:17" ht="14.5" x14ac:dyDescent="0.3">
      <c r="A153" s="16">
        <v>140</v>
      </c>
      <c r="B153" s="16">
        <v>4</v>
      </c>
      <c r="C153" s="29" t="s">
        <v>240</v>
      </c>
      <c r="D153" s="24" t="s">
        <v>6</v>
      </c>
      <c r="E153" s="24">
        <v>3</v>
      </c>
      <c r="F153" s="128">
        <f>'2023.'!P153</f>
        <v>0</v>
      </c>
      <c r="G153" s="128">
        <f>'2023.'!Q153</f>
        <v>0</v>
      </c>
      <c r="H153" s="127">
        <f t="shared" si="38"/>
        <v>0.25</v>
      </c>
      <c r="I153" s="127">
        <f t="shared" si="39"/>
        <v>0.25</v>
      </c>
      <c r="J153" s="112">
        <f>ROUND('2023.'!J153*1.025,0)</f>
        <v>3</v>
      </c>
      <c r="K153" s="112">
        <f t="shared" si="37"/>
        <v>3</v>
      </c>
      <c r="L153" s="110">
        <v>3</v>
      </c>
      <c r="M153" s="112">
        <f t="shared" si="42"/>
        <v>3</v>
      </c>
      <c r="N153" s="37">
        <f>'2023.'!N153*1.025</f>
        <v>6207.9645187499991</v>
      </c>
      <c r="O153" s="21">
        <f t="shared" si="40"/>
        <v>18623.893556249997</v>
      </c>
      <c r="P153" s="128">
        <f t="shared" si="41"/>
        <v>0</v>
      </c>
      <c r="Q153" s="128">
        <f t="shared" si="41"/>
        <v>0</v>
      </c>
    </row>
    <row r="154" spans="1:17" ht="14.5" x14ac:dyDescent="0.3">
      <c r="A154" s="16">
        <v>141</v>
      </c>
      <c r="B154" s="16">
        <v>4</v>
      </c>
      <c r="C154" s="29" t="s">
        <v>242</v>
      </c>
      <c r="D154" s="24" t="s">
        <v>6</v>
      </c>
      <c r="E154" s="24">
        <v>3</v>
      </c>
      <c r="F154" s="128">
        <f>'2023.'!P154</f>
        <v>1</v>
      </c>
      <c r="G154" s="128">
        <f>'2023.'!Q154</f>
        <v>1</v>
      </c>
      <c r="H154" s="127">
        <f t="shared" si="38"/>
        <v>0.33333333333333331</v>
      </c>
      <c r="I154" s="127">
        <f t="shared" si="39"/>
        <v>0.33333333333333331</v>
      </c>
      <c r="J154" s="112">
        <f>ROUND('2023.'!J154*1.025,0)</f>
        <v>4</v>
      </c>
      <c r="K154" s="112">
        <f t="shared" si="37"/>
        <v>4</v>
      </c>
      <c r="L154" s="110">
        <v>3</v>
      </c>
      <c r="M154" s="112">
        <f t="shared" si="42"/>
        <v>3</v>
      </c>
      <c r="N154" s="37">
        <f>'2023.'!N154*1.025</f>
        <v>455.90821249999988</v>
      </c>
      <c r="O154" s="21">
        <f t="shared" si="40"/>
        <v>1367.7246374999995</v>
      </c>
      <c r="P154" s="128">
        <f t="shared" si="41"/>
        <v>1</v>
      </c>
      <c r="Q154" s="128">
        <f t="shared" si="41"/>
        <v>1</v>
      </c>
    </row>
    <row r="155" spans="1:17" ht="22.25" customHeight="1" x14ac:dyDescent="0.3">
      <c r="A155" s="16">
        <v>142</v>
      </c>
      <c r="B155" s="16">
        <v>4</v>
      </c>
      <c r="C155" s="29" t="s">
        <v>244</v>
      </c>
      <c r="D155" s="24" t="s">
        <v>6</v>
      </c>
      <c r="E155" s="24">
        <v>1</v>
      </c>
      <c r="F155" s="128">
        <f>'2023.'!P155</f>
        <v>9</v>
      </c>
      <c r="G155" s="128">
        <f>'2023.'!Q155</f>
        <v>9</v>
      </c>
      <c r="H155" s="128">
        <f t="shared" si="38"/>
        <v>7.916666666666667</v>
      </c>
      <c r="I155" s="128">
        <f t="shared" si="39"/>
        <v>7.916666666666667</v>
      </c>
      <c r="J155" s="112">
        <f>ROUND('2023.'!J155*1.025,0)</f>
        <v>95</v>
      </c>
      <c r="K155" s="112">
        <f t="shared" si="37"/>
        <v>95</v>
      </c>
      <c r="L155" s="110">
        <v>84</v>
      </c>
      <c r="M155" s="112">
        <f t="shared" si="42"/>
        <v>84</v>
      </c>
      <c r="N155" s="37">
        <f>'2023.'!N155*1.025</f>
        <v>3740.9394249999991</v>
      </c>
      <c r="O155" s="21">
        <f t="shared" si="40"/>
        <v>314238.91169999994</v>
      </c>
      <c r="P155" s="128">
        <f t="shared" si="41"/>
        <v>11</v>
      </c>
      <c r="Q155" s="128">
        <f t="shared" si="41"/>
        <v>11</v>
      </c>
    </row>
    <row r="156" spans="1:17" ht="14.5" x14ac:dyDescent="0.3">
      <c r="A156" s="16">
        <v>143</v>
      </c>
      <c r="B156" s="16">
        <v>4</v>
      </c>
      <c r="C156" s="29" t="s">
        <v>245</v>
      </c>
      <c r="D156" s="24" t="s">
        <v>6</v>
      </c>
      <c r="E156" s="24">
        <v>4</v>
      </c>
      <c r="F156" s="128">
        <f>'2023.'!P156</f>
        <v>0</v>
      </c>
      <c r="G156" s="128">
        <f>'2023.'!Q156</f>
        <v>0</v>
      </c>
      <c r="H156" s="127">
        <f t="shared" si="38"/>
        <v>0.25</v>
      </c>
      <c r="I156" s="127">
        <f t="shared" si="39"/>
        <v>0.25</v>
      </c>
      <c r="J156" s="112">
        <f>ROUND('2023.'!J156*1.025,0)</f>
        <v>3</v>
      </c>
      <c r="K156" s="112">
        <f t="shared" si="37"/>
        <v>3</v>
      </c>
      <c r="L156" s="110">
        <v>3</v>
      </c>
      <c r="M156" s="112">
        <f t="shared" si="42"/>
        <v>3</v>
      </c>
      <c r="N156" s="37">
        <f>'2023.'!N156*1.025</f>
        <v>3120.4297937499996</v>
      </c>
      <c r="O156" s="21">
        <f t="shared" si="40"/>
        <v>9361.2893812499988</v>
      </c>
      <c r="P156" s="128">
        <f t="shared" si="41"/>
        <v>0</v>
      </c>
      <c r="Q156" s="128">
        <f t="shared" si="41"/>
        <v>0</v>
      </c>
    </row>
    <row r="157" spans="1:17" ht="14.5" x14ac:dyDescent="0.3">
      <c r="A157" s="16">
        <v>144</v>
      </c>
      <c r="B157" s="16">
        <v>4</v>
      </c>
      <c r="C157" s="29" t="s">
        <v>247</v>
      </c>
      <c r="D157" s="24" t="s">
        <v>6</v>
      </c>
      <c r="E157" s="24">
        <v>2</v>
      </c>
      <c r="F157" s="128">
        <f>'2023.'!P157</f>
        <v>49</v>
      </c>
      <c r="G157" s="128">
        <f>'2023.'!Q157</f>
        <v>52</v>
      </c>
      <c r="H157" s="128">
        <f t="shared" si="38"/>
        <v>42.083333333333336</v>
      </c>
      <c r="I157" s="128">
        <f t="shared" si="39"/>
        <v>44.666666666666664</v>
      </c>
      <c r="J157" s="112">
        <f>ROUND('2023.'!J157*1.025,0)</f>
        <v>505</v>
      </c>
      <c r="K157" s="112">
        <f t="shared" si="37"/>
        <v>536</v>
      </c>
      <c r="L157" s="110">
        <v>445</v>
      </c>
      <c r="M157" s="112">
        <f t="shared" si="42"/>
        <v>472</v>
      </c>
      <c r="N157" s="37">
        <f>'2023.'!N157*1.025</f>
        <v>72.367049999999978</v>
      </c>
      <c r="O157" s="21">
        <f t="shared" si="40"/>
        <v>34157.247599999988</v>
      </c>
      <c r="P157" s="128">
        <f t="shared" si="41"/>
        <v>60</v>
      </c>
      <c r="Q157" s="128">
        <f t="shared" si="41"/>
        <v>64</v>
      </c>
    </row>
    <row r="158" spans="1:17" s="15" customFormat="1" ht="15" customHeight="1" x14ac:dyDescent="0.3">
      <c r="A158" s="254" t="s">
        <v>248</v>
      </c>
      <c r="B158" s="254"/>
      <c r="C158" s="254"/>
      <c r="D158" s="254"/>
      <c r="E158" s="254"/>
      <c r="F158" s="12">
        <f>'2023.'!P158</f>
        <v>222</v>
      </c>
      <c r="G158" s="12">
        <f>'2023.'!Q158</f>
        <v>444</v>
      </c>
      <c r="H158" s="12">
        <f t="shared" si="38"/>
        <v>239.08333333333334</v>
      </c>
      <c r="I158" s="12">
        <f t="shared" si="39"/>
        <v>478.16666666666669</v>
      </c>
      <c r="J158" s="12">
        <f t="shared" ref="J158:L158" si="43">SUM(J159:J165)</f>
        <v>2869</v>
      </c>
      <c r="K158" s="12">
        <f t="shared" si="43"/>
        <v>5738</v>
      </c>
      <c r="L158" s="12">
        <f t="shared" si="43"/>
        <v>2634</v>
      </c>
      <c r="M158" s="12">
        <f t="shared" ref="M158" si="44">SUM(M159:M165)</f>
        <v>5268</v>
      </c>
      <c r="N158" s="13" t="s">
        <v>426</v>
      </c>
      <c r="O158" s="14">
        <f>SUM(O159:O165)</f>
        <v>1104427.128025</v>
      </c>
      <c r="P158" s="12">
        <f t="shared" ref="P158:Q158" si="45">SUM(P159:P165)</f>
        <v>235</v>
      </c>
      <c r="Q158" s="12">
        <f t="shared" si="45"/>
        <v>470</v>
      </c>
    </row>
    <row r="159" spans="1:17" ht="14.5" x14ac:dyDescent="0.3">
      <c r="A159" s="16">
        <v>145</v>
      </c>
      <c r="B159" s="16">
        <v>5</v>
      </c>
      <c r="C159" s="19" t="s">
        <v>250</v>
      </c>
      <c r="D159" s="20" t="s">
        <v>6</v>
      </c>
      <c r="E159" s="20">
        <v>0.5</v>
      </c>
      <c r="F159" s="128">
        <f>'2023.'!P159</f>
        <v>30</v>
      </c>
      <c r="G159" s="128">
        <f>'2023.'!Q159</f>
        <v>60</v>
      </c>
      <c r="H159" s="128">
        <f t="shared" si="38"/>
        <v>93.833333333333329</v>
      </c>
      <c r="I159" s="128">
        <f t="shared" si="39"/>
        <v>187.66666666666666</v>
      </c>
      <c r="J159" s="112">
        <f>ROUND('2023.'!J159*1.025,0)</f>
        <v>1126</v>
      </c>
      <c r="K159" s="112">
        <f t="shared" ref="K159" si="46">ROUND(IF(F159=0,J159,J159*(G159/F159)),0)</f>
        <v>2252</v>
      </c>
      <c r="L159" s="110">
        <v>1100</v>
      </c>
      <c r="M159" s="112">
        <f t="shared" si="42"/>
        <v>2200</v>
      </c>
      <c r="N159" s="37">
        <f>'2023.'!N159*1.025</f>
        <v>113.75116874999998</v>
      </c>
      <c r="O159" s="21">
        <f t="shared" si="40"/>
        <v>250252.57124999995</v>
      </c>
      <c r="P159" s="128">
        <f t="shared" si="41"/>
        <v>26</v>
      </c>
      <c r="Q159" s="128">
        <f t="shared" si="41"/>
        <v>52</v>
      </c>
    </row>
    <row r="160" spans="1:17" ht="14.5" x14ac:dyDescent="0.3">
      <c r="A160" s="16">
        <v>146</v>
      </c>
      <c r="B160" s="16">
        <v>5</v>
      </c>
      <c r="C160" s="19" t="s">
        <v>252</v>
      </c>
      <c r="D160" s="20" t="s">
        <v>6</v>
      </c>
      <c r="E160" s="20">
        <v>0.5</v>
      </c>
      <c r="F160" s="128">
        <f>'2023.'!P160</f>
        <v>69</v>
      </c>
      <c r="G160" s="128">
        <f>'2023.'!Q160</f>
        <v>138</v>
      </c>
      <c r="H160" s="128">
        <f t="shared" si="38"/>
        <v>59.166666666666664</v>
      </c>
      <c r="I160" s="128">
        <f t="shared" si="39"/>
        <v>118.33333333333333</v>
      </c>
      <c r="J160" s="112">
        <f>ROUND('2023.'!J160*1.025,0)</f>
        <v>710</v>
      </c>
      <c r="K160" s="112">
        <f t="shared" ref="K160:K165" si="47">ROUND(IF(F160=0,J160,J160*(G160/F160)),0)</f>
        <v>1420</v>
      </c>
      <c r="L160" s="110">
        <v>650</v>
      </c>
      <c r="M160" s="112">
        <f t="shared" si="42"/>
        <v>1300</v>
      </c>
      <c r="N160" s="37">
        <f>'2023.'!N160*1.025</f>
        <v>107.48944374999998</v>
      </c>
      <c r="O160" s="21">
        <f t="shared" si="40"/>
        <v>139736.27687499998</v>
      </c>
      <c r="P160" s="128">
        <f t="shared" si="41"/>
        <v>60</v>
      </c>
      <c r="Q160" s="128">
        <f t="shared" si="41"/>
        <v>120</v>
      </c>
    </row>
    <row r="161" spans="1:17" s="66" customFormat="1" ht="26" x14ac:dyDescent="0.3">
      <c r="A161" s="62">
        <v>147</v>
      </c>
      <c r="B161" s="62">
        <v>5</v>
      </c>
      <c r="C161" s="172" t="s">
        <v>519</v>
      </c>
      <c r="D161" s="173" t="s">
        <v>6</v>
      </c>
      <c r="E161" s="173">
        <v>0.5</v>
      </c>
      <c r="F161" s="128">
        <f>'2023.'!P161</f>
        <v>47</v>
      </c>
      <c r="G161" s="128">
        <f>'2023.'!Q161</f>
        <v>94</v>
      </c>
      <c r="H161" s="128">
        <f>J161/12</f>
        <v>21.166666666666668</v>
      </c>
      <c r="I161" s="128">
        <f t="shared" ref="I161" si="48">K161/12</f>
        <v>42.333333333333336</v>
      </c>
      <c r="J161" s="112">
        <v>254</v>
      </c>
      <c r="K161" s="112">
        <f t="shared" ref="K161" si="49">ROUND(IF(F161=0,J161,J161*(G161/F161)),0)</f>
        <v>508</v>
      </c>
      <c r="L161" s="110">
        <v>200</v>
      </c>
      <c r="M161" s="112">
        <f t="shared" ref="M161" si="50">ROUND(IF(F161=0,L161,L161*(G161/F161)),0)</f>
        <v>400</v>
      </c>
      <c r="N161" s="37">
        <f>'2023.'!N161*1.025</f>
        <v>113.75116874999998</v>
      </c>
      <c r="O161" s="21">
        <f t="shared" ref="O161" si="51">N161*M161</f>
        <v>45500.467499999992</v>
      </c>
      <c r="P161" s="128">
        <f>J161-L161</f>
        <v>54</v>
      </c>
      <c r="Q161" s="128">
        <f t="shared" ref="Q161" si="52">K161-M161</f>
        <v>108</v>
      </c>
    </row>
    <row r="162" spans="1:17" ht="14.5" x14ac:dyDescent="0.3">
      <c r="A162" s="16">
        <v>148</v>
      </c>
      <c r="B162" s="16">
        <v>5</v>
      </c>
      <c r="C162" s="19" t="s">
        <v>254</v>
      </c>
      <c r="D162" s="20" t="s">
        <v>6</v>
      </c>
      <c r="E162" s="20">
        <v>0.5</v>
      </c>
      <c r="F162" s="128">
        <f>'2023.'!P162</f>
        <v>29</v>
      </c>
      <c r="G162" s="128">
        <f>'2023.'!Q162</f>
        <v>58</v>
      </c>
      <c r="H162" s="128">
        <f t="shared" si="38"/>
        <v>25</v>
      </c>
      <c r="I162" s="128">
        <f t="shared" si="39"/>
        <v>50</v>
      </c>
      <c r="J162" s="112">
        <f>ROUND('2023.'!J162*1.025,0)</f>
        <v>300</v>
      </c>
      <c r="K162" s="112">
        <f t="shared" si="47"/>
        <v>600</v>
      </c>
      <c r="L162" s="110">
        <v>264</v>
      </c>
      <c r="M162" s="112">
        <f t="shared" si="42"/>
        <v>528</v>
      </c>
      <c r="N162" s="37">
        <f>'2023.'!N162*1.025</f>
        <v>507.77756874999994</v>
      </c>
      <c r="O162" s="21">
        <f t="shared" si="40"/>
        <v>268106.5563</v>
      </c>
      <c r="P162" s="128">
        <f t="shared" si="41"/>
        <v>36</v>
      </c>
      <c r="Q162" s="128">
        <f t="shared" si="41"/>
        <v>72</v>
      </c>
    </row>
    <row r="163" spans="1:17" ht="26" x14ac:dyDescent="0.3">
      <c r="A163" s="16">
        <v>149</v>
      </c>
      <c r="B163" s="16">
        <v>5</v>
      </c>
      <c r="C163" s="19" t="s">
        <v>256</v>
      </c>
      <c r="D163" s="20" t="s">
        <v>6</v>
      </c>
      <c r="E163" s="20">
        <v>0.5</v>
      </c>
      <c r="F163" s="128">
        <f>'2023.'!P163</f>
        <v>11</v>
      </c>
      <c r="G163" s="128">
        <f>'2023.'!Q163</f>
        <v>22</v>
      </c>
      <c r="H163" s="128">
        <f t="shared" si="38"/>
        <v>9.1666666666666661</v>
      </c>
      <c r="I163" s="128">
        <f t="shared" si="39"/>
        <v>18.333333333333332</v>
      </c>
      <c r="J163" s="112">
        <f>ROUND('2023.'!J163*1.025,0)</f>
        <v>110</v>
      </c>
      <c r="K163" s="112">
        <f t="shared" si="47"/>
        <v>220</v>
      </c>
      <c r="L163" s="110">
        <v>96</v>
      </c>
      <c r="M163" s="112">
        <f t="shared" si="42"/>
        <v>192</v>
      </c>
      <c r="N163" s="37">
        <f>'2023.'!N163*1.025</f>
        <v>329.15030624999997</v>
      </c>
      <c r="O163" s="21">
        <f t="shared" si="40"/>
        <v>63196.858799999995</v>
      </c>
      <c r="P163" s="128">
        <f t="shared" si="41"/>
        <v>14</v>
      </c>
      <c r="Q163" s="128">
        <f t="shared" si="41"/>
        <v>28</v>
      </c>
    </row>
    <row r="164" spans="1:17" ht="26" x14ac:dyDescent="0.3">
      <c r="A164" s="16">
        <v>150</v>
      </c>
      <c r="B164" s="16">
        <v>5</v>
      </c>
      <c r="C164" s="19" t="s">
        <v>258</v>
      </c>
      <c r="D164" s="20" t="s">
        <v>6</v>
      </c>
      <c r="E164" s="20">
        <v>0.5</v>
      </c>
      <c r="F164" s="128">
        <f>'2023.'!P164</f>
        <v>29</v>
      </c>
      <c r="G164" s="128">
        <f>'2023.'!Q164</f>
        <v>58</v>
      </c>
      <c r="H164" s="128">
        <f t="shared" si="38"/>
        <v>25</v>
      </c>
      <c r="I164" s="128">
        <f t="shared" si="39"/>
        <v>50</v>
      </c>
      <c r="J164" s="112">
        <f>ROUND('2023.'!J164*1.025,0)</f>
        <v>300</v>
      </c>
      <c r="K164" s="112">
        <f t="shared" si="47"/>
        <v>600</v>
      </c>
      <c r="L164" s="110">
        <v>264</v>
      </c>
      <c r="M164" s="112">
        <f t="shared" si="42"/>
        <v>528</v>
      </c>
      <c r="N164" s="37">
        <f>'2023.'!N164*1.025</f>
        <v>507.77756874999994</v>
      </c>
      <c r="O164" s="21">
        <f t="shared" si="40"/>
        <v>268106.5563</v>
      </c>
      <c r="P164" s="128">
        <f t="shared" si="41"/>
        <v>36</v>
      </c>
      <c r="Q164" s="128">
        <f t="shared" si="41"/>
        <v>72</v>
      </c>
    </row>
    <row r="165" spans="1:17" ht="26" x14ac:dyDescent="0.3">
      <c r="A165" s="16">
        <v>151</v>
      </c>
      <c r="B165" s="16">
        <v>5</v>
      </c>
      <c r="C165" s="19" t="s">
        <v>260</v>
      </c>
      <c r="D165" s="20" t="s">
        <v>6</v>
      </c>
      <c r="E165" s="20">
        <v>0.5</v>
      </c>
      <c r="F165" s="128">
        <f>'2023.'!P165</f>
        <v>7</v>
      </c>
      <c r="G165" s="128">
        <f>'2023.'!Q165</f>
        <v>14</v>
      </c>
      <c r="H165" s="128">
        <f t="shared" si="38"/>
        <v>5.75</v>
      </c>
      <c r="I165" s="128">
        <f t="shared" si="39"/>
        <v>11.5</v>
      </c>
      <c r="J165" s="112">
        <f>ROUND('2023.'!J165*1.025,0)</f>
        <v>69</v>
      </c>
      <c r="K165" s="112">
        <f t="shared" si="47"/>
        <v>138</v>
      </c>
      <c r="L165" s="110">
        <v>60</v>
      </c>
      <c r="M165" s="112">
        <f t="shared" si="42"/>
        <v>120</v>
      </c>
      <c r="N165" s="37">
        <f>'2023.'!N165*1.025</f>
        <v>579.39867499999991</v>
      </c>
      <c r="O165" s="21">
        <f t="shared" si="40"/>
        <v>69527.840999999986</v>
      </c>
      <c r="P165" s="128">
        <f t="shared" si="41"/>
        <v>9</v>
      </c>
      <c r="Q165" s="128">
        <f t="shared" si="41"/>
        <v>18</v>
      </c>
    </row>
    <row r="166" spans="1:17" s="15" customFormat="1" ht="15" customHeight="1" x14ac:dyDescent="0.3">
      <c r="A166" s="254" t="s">
        <v>261</v>
      </c>
      <c r="B166" s="254"/>
      <c r="C166" s="254"/>
      <c r="D166" s="254"/>
      <c r="E166" s="254"/>
      <c r="F166" s="12">
        <f>'2023.'!P166</f>
        <v>386</v>
      </c>
      <c r="G166" s="12">
        <f>'2023.'!Q166</f>
        <v>386</v>
      </c>
      <c r="H166" s="12">
        <f t="shared" si="38"/>
        <v>175.83333333333334</v>
      </c>
      <c r="I166" s="12">
        <f t="shared" si="39"/>
        <v>175.83333333333334</v>
      </c>
      <c r="J166" s="12">
        <f t="shared" ref="J166:Q166" si="53">SUM(J167:J180)</f>
        <v>2110</v>
      </c>
      <c r="K166" s="12">
        <f t="shared" si="53"/>
        <v>2110</v>
      </c>
      <c r="L166" s="12">
        <f t="shared" si="53"/>
        <v>1717</v>
      </c>
      <c r="M166" s="12">
        <f t="shared" ref="M166" si="54">SUM(M167:M180)</f>
        <v>1717</v>
      </c>
      <c r="N166" s="13" t="s">
        <v>426</v>
      </c>
      <c r="O166" s="14">
        <f t="shared" si="53"/>
        <v>269927.98283749993</v>
      </c>
      <c r="P166" s="12">
        <f t="shared" si="53"/>
        <v>393</v>
      </c>
      <c r="Q166" s="12">
        <f t="shared" si="53"/>
        <v>393</v>
      </c>
    </row>
    <row r="167" spans="1:17" ht="14.5" x14ac:dyDescent="0.3">
      <c r="A167" s="16">
        <v>152</v>
      </c>
      <c r="B167" s="17">
        <v>6</v>
      </c>
      <c r="C167" s="29" t="s">
        <v>263</v>
      </c>
      <c r="D167" s="24" t="s">
        <v>6</v>
      </c>
      <c r="E167" s="24">
        <v>2</v>
      </c>
      <c r="F167" s="128">
        <f>'2023.'!P167</f>
        <v>20</v>
      </c>
      <c r="G167" s="128">
        <f>'2023.'!Q167</f>
        <v>20</v>
      </c>
      <c r="H167" s="128">
        <f t="shared" si="38"/>
        <v>7.833333333333333</v>
      </c>
      <c r="I167" s="128">
        <f t="shared" si="39"/>
        <v>7.833333333333333</v>
      </c>
      <c r="J167" s="112">
        <f>ROUND('2023.'!J167*1.025,0)</f>
        <v>94</v>
      </c>
      <c r="K167" s="112">
        <f t="shared" ref="K167" si="55">ROUND(IF(F167=0,J167,J167*(G167/F167)),0)</f>
        <v>94</v>
      </c>
      <c r="L167" s="110">
        <v>72</v>
      </c>
      <c r="M167" s="112">
        <f t="shared" si="42"/>
        <v>72</v>
      </c>
      <c r="N167" s="37">
        <f>'2023.'!N167*1.025</f>
        <v>45.41851874999999</v>
      </c>
      <c r="O167" s="21">
        <f t="shared" si="40"/>
        <v>3270.1333499999992</v>
      </c>
      <c r="P167" s="128">
        <f t="shared" si="41"/>
        <v>22</v>
      </c>
      <c r="Q167" s="128">
        <f t="shared" si="41"/>
        <v>22</v>
      </c>
    </row>
    <row r="168" spans="1:17" ht="14.5" x14ac:dyDescent="0.3">
      <c r="A168" s="16">
        <v>153</v>
      </c>
      <c r="B168" s="17">
        <v>6</v>
      </c>
      <c r="C168" s="29" t="s">
        <v>265</v>
      </c>
      <c r="D168" s="24" t="s">
        <v>6</v>
      </c>
      <c r="E168" s="24">
        <v>4</v>
      </c>
      <c r="F168" s="128">
        <f>'2023.'!P168</f>
        <v>89</v>
      </c>
      <c r="G168" s="128">
        <f>'2023.'!Q168</f>
        <v>89</v>
      </c>
      <c r="H168" s="128">
        <f t="shared" si="38"/>
        <v>38.333333333333336</v>
      </c>
      <c r="I168" s="128">
        <f t="shared" si="39"/>
        <v>38.333333333333336</v>
      </c>
      <c r="J168" s="112">
        <f>ROUND('2023.'!J168*1.025,0)</f>
        <v>460</v>
      </c>
      <c r="K168" s="112">
        <f t="shared" ref="K168:K180" si="56">ROUND(IF(F168=0,J168,J168*(G168/F168)),0)</f>
        <v>460</v>
      </c>
      <c r="L168" s="110">
        <v>400</v>
      </c>
      <c r="M168" s="112">
        <f t="shared" si="42"/>
        <v>400</v>
      </c>
      <c r="N168" s="37">
        <f>'2023.'!N168*1.025</f>
        <v>128.26029999999997</v>
      </c>
      <c r="O168" s="21">
        <f t="shared" si="40"/>
        <v>51304.119999999988</v>
      </c>
      <c r="P168" s="128">
        <f t="shared" si="41"/>
        <v>60</v>
      </c>
      <c r="Q168" s="128">
        <f t="shared" si="41"/>
        <v>60</v>
      </c>
    </row>
    <row r="169" spans="1:17" ht="14.5" x14ac:dyDescent="0.3">
      <c r="A169" s="16">
        <v>154</v>
      </c>
      <c r="B169" s="17">
        <v>6</v>
      </c>
      <c r="C169" s="29" t="s">
        <v>267</v>
      </c>
      <c r="D169" s="24" t="s">
        <v>6</v>
      </c>
      <c r="E169" s="24">
        <v>4</v>
      </c>
      <c r="F169" s="128">
        <f>'2023.'!P169</f>
        <v>21</v>
      </c>
      <c r="G169" s="128">
        <f>'2023.'!Q169</f>
        <v>21</v>
      </c>
      <c r="H169" s="128">
        <f t="shared" si="38"/>
        <v>12.083333333333334</v>
      </c>
      <c r="I169" s="128">
        <f t="shared" si="39"/>
        <v>12.083333333333334</v>
      </c>
      <c r="J169" s="112">
        <f>ROUND('2023.'!J169*1.025,0)</f>
        <v>145</v>
      </c>
      <c r="K169" s="112">
        <f t="shared" si="56"/>
        <v>145</v>
      </c>
      <c r="L169" s="110">
        <v>120</v>
      </c>
      <c r="M169" s="112">
        <f t="shared" si="42"/>
        <v>120</v>
      </c>
      <c r="N169" s="37">
        <f>'2023.'!N169*1.025</f>
        <v>91.782599999999988</v>
      </c>
      <c r="O169" s="21">
        <f t="shared" si="40"/>
        <v>11013.911999999998</v>
      </c>
      <c r="P169" s="128">
        <f t="shared" si="41"/>
        <v>25</v>
      </c>
      <c r="Q169" s="128">
        <f t="shared" si="41"/>
        <v>25</v>
      </c>
    </row>
    <row r="170" spans="1:17" ht="14.5" x14ac:dyDescent="0.3">
      <c r="A170" s="16">
        <v>155</v>
      </c>
      <c r="B170" s="17">
        <v>6</v>
      </c>
      <c r="C170" s="29" t="s">
        <v>269</v>
      </c>
      <c r="D170" s="24" t="s">
        <v>6</v>
      </c>
      <c r="E170" s="24">
        <v>4</v>
      </c>
      <c r="F170" s="128">
        <f>'2023.'!P170</f>
        <v>15</v>
      </c>
      <c r="G170" s="128">
        <f>'2023.'!Q170</f>
        <v>15</v>
      </c>
      <c r="H170" s="128">
        <f t="shared" si="38"/>
        <v>4.333333333333333</v>
      </c>
      <c r="I170" s="128">
        <f t="shared" si="39"/>
        <v>4.333333333333333</v>
      </c>
      <c r="J170" s="112">
        <f>ROUND('2023.'!J170*1.025,0)</f>
        <v>52</v>
      </c>
      <c r="K170" s="112">
        <f t="shared" si="56"/>
        <v>52</v>
      </c>
      <c r="L170" s="110">
        <v>36</v>
      </c>
      <c r="M170" s="112">
        <f t="shared" si="42"/>
        <v>36</v>
      </c>
      <c r="N170" s="37">
        <f>'2023.'!N170*1.025</f>
        <v>554.1626624999999</v>
      </c>
      <c r="O170" s="21">
        <f t="shared" si="40"/>
        <v>19949.855849999996</v>
      </c>
      <c r="P170" s="128">
        <f t="shared" si="41"/>
        <v>16</v>
      </c>
      <c r="Q170" s="128">
        <f t="shared" si="41"/>
        <v>16</v>
      </c>
    </row>
    <row r="171" spans="1:17" ht="14.5" x14ac:dyDescent="0.3">
      <c r="A171" s="16">
        <v>156</v>
      </c>
      <c r="B171" s="17">
        <v>6</v>
      </c>
      <c r="C171" s="29" t="s">
        <v>271</v>
      </c>
      <c r="D171" s="24" t="s">
        <v>10</v>
      </c>
      <c r="E171" s="24">
        <v>3</v>
      </c>
      <c r="F171" s="128">
        <f>'2023.'!P171</f>
        <v>2</v>
      </c>
      <c r="G171" s="128">
        <f>'2023.'!Q171</f>
        <v>2</v>
      </c>
      <c r="H171" s="128">
        <f t="shared" si="38"/>
        <v>0.66666666666666663</v>
      </c>
      <c r="I171" s="128">
        <f t="shared" si="39"/>
        <v>0.66666666666666663</v>
      </c>
      <c r="J171" s="112">
        <f>ROUND('2023.'!J171*1.025,0)</f>
        <v>8</v>
      </c>
      <c r="K171" s="112">
        <f t="shared" si="56"/>
        <v>8</v>
      </c>
      <c r="L171" s="110">
        <v>6</v>
      </c>
      <c r="M171" s="112">
        <f t="shared" si="42"/>
        <v>6</v>
      </c>
      <c r="N171" s="37">
        <f>'2023.'!N171*1.025</f>
        <v>1086.3042249999999</v>
      </c>
      <c r="O171" s="21">
        <f t="shared" si="40"/>
        <v>6517.8253499999992</v>
      </c>
      <c r="P171" s="128">
        <f t="shared" si="41"/>
        <v>2</v>
      </c>
      <c r="Q171" s="128">
        <f t="shared" si="41"/>
        <v>2</v>
      </c>
    </row>
    <row r="172" spans="1:17" ht="26" x14ac:dyDescent="0.3">
      <c r="A172" s="16">
        <v>157</v>
      </c>
      <c r="B172" s="17">
        <v>6</v>
      </c>
      <c r="C172" s="29" t="s">
        <v>273</v>
      </c>
      <c r="D172" s="24" t="s">
        <v>6</v>
      </c>
      <c r="E172" s="24">
        <v>4</v>
      </c>
      <c r="F172" s="128">
        <f>'2023.'!P172</f>
        <v>61</v>
      </c>
      <c r="G172" s="128">
        <f>'2023.'!Q172</f>
        <v>61</v>
      </c>
      <c r="H172" s="128">
        <f t="shared" si="38"/>
        <v>21.583333333333332</v>
      </c>
      <c r="I172" s="128">
        <f t="shared" si="39"/>
        <v>21.583333333333332</v>
      </c>
      <c r="J172" s="112">
        <f>ROUND('2023.'!J172*1.025,0)</f>
        <v>259</v>
      </c>
      <c r="K172" s="112">
        <f t="shared" si="56"/>
        <v>259</v>
      </c>
      <c r="L172" s="110">
        <v>195</v>
      </c>
      <c r="M172" s="112">
        <f t="shared" si="42"/>
        <v>195</v>
      </c>
      <c r="N172" s="37">
        <f>'2023.'!N172*1.025</f>
        <v>18.596062499999995</v>
      </c>
      <c r="O172" s="21">
        <f t="shared" si="40"/>
        <v>3626.2321874999989</v>
      </c>
      <c r="P172" s="128">
        <f t="shared" si="41"/>
        <v>64</v>
      </c>
      <c r="Q172" s="128">
        <f t="shared" si="41"/>
        <v>64</v>
      </c>
    </row>
    <row r="173" spans="1:17" ht="14.5" x14ac:dyDescent="0.3">
      <c r="A173" s="16">
        <v>158</v>
      </c>
      <c r="B173" s="17">
        <v>6</v>
      </c>
      <c r="C173" s="29" t="s">
        <v>275</v>
      </c>
      <c r="D173" s="24" t="s">
        <v>6</v>
      </c>
      <c r="E173" s="24">
        <v>4</v>
      </c>
      <c r="F173" s="128">
        <f>'2023.'!P173</f>
        <v>48</v>
      </c>
      <c r="G173" s="128">
        <f>'2023.'!Q173</f>
        <v>48</v>
      </c>
      <c r="H173" s="128">
        <f t="shared" si="38"/>
        <v>38.25</v>
      </c>
      <c r="I173" s="128">
        <f t="shared" si="39"/>
        <v>38.25</v>
      </c>
      <c r="J173" s="112">
        <f>ROUND('2023.'!J173*1.025,0)</f>
        <v>459</v>
      </c>
      <c r="K173" s="112">
        <f t="shared" si="56"/>
        <v>459</v>
      </c>
      <c r="L173" s="110">
        <v>400</v>
      </c>
      <c r="M173" s="112">
        <f t="shared" si="42"/>
        <v>400</v>
      </c>
      <c r="N173" s="37">
        <f>'2023.'!N173*1.025</f>
        <v>17.650499999999997</v>
      </c>
      <c r="O173" s="21">
        <f t="shared" si="40"/>
        <v>7060.1999999999989</v>
      </c>
      <c r="P173" s="128">
        <f t="shared" si="41"/>
        <v>59</v>
      </c>
      <c r="Q173" s="128">
        <f t="shared" si="41"/>
        <v>59</v>
      </c>
    </row>
    <row r="174" spans="1:17" ht="14.5" x14ac:dyDescent="0.3">
      <c r="A174" s="16">
        <v>159</v>
      </c>
      <c r="B174" s="17">
        <v>6</v>
      </c>
      <c r="C174" s="29" t="s">
        <v>277</v>
      </c>
      <c r="D174" s="24" t="s">
        <v>10</v>
      </c>
      <c r="E174" s="24">
        <v>3</v>
      </c>
      <c r="F174" s="128">
        <f>'2023.'!P174</f>
        <v>2</v>
      </c>
      <c r="G174" s="128">
        <f>'2023.'!Q174</f>
        <v>2</v>
      </c>
      <c r="H174" s="128">
        <f t="shared" si="38"/>
        <v>2.25</v>
      </c>
      <c r="I174" s="128">
        <f t="shared" si="39"/>
        <v>2.25</v>
      </c>
      <c r="J174" s="112">
        <f>ROUND('2023.'!J174*1.025,0)</f>
        <v>27</v>
      </c>
      <c r="K174" s="112">
        <f t="shared" si="56"/>
        <v>27</v>
      </c>
      <c r="L174" s="110">
        <v>24</v>
      </c>
      <c r="M174" s="112">
        <f t="shared" si="42"/>
        <v>24</v>
      </c>
      <c r="N174" s="37">
        <f>'2023.'!N174*1.025</f>
        <v>441.26249999999993</v>
      </c>
      <c r="O174" s="21">
        <f t="shared" si="40"/>
        <v>10590.3</v>
      </c>
      <c r="P174" s="128">
        <f t="shared" si="41"/>
        <v>3</v>
      </c>
      <c r="Q174" s="128">
        <f t="shared" si="41"/>
        <v>3</v>
      </c>
    </row>
    <row r="175" spans="1:17" ht="14.5" x14ac:dyDescent="0.3">
      <c r="A175" s="16">
        <v>160</v>
      </c>
      <c r="B175" s="17">
        <v>6</v>
      </c>
      <c r="C175" s="29" t="s">
        <v>279</v>
      </c>
      <c r="D175" s="24" t="s">
        <v>6</v>
      </c>
      <c r="E175" s="24">
        <v>4</v>
      </c>
      <c r="F175" s="128">
        <f>'2023.'!P175</f>
        <v>20</v>
      </c>
      <c r="G175" s="128">
        <f>'2023.'!Q175</f>
        <v>20</v>
      </c>
      <c r="H175" s="128">
        <f t="shared" si="38"/>
        <v>7.833333333333333</v>
      </c>
      <c r="I175" s="128">
        <f t="shared" si="39"/>
        <v>7.833333333333333</v>
      </c>
      <c r="J175" s="112">
        <f>ROUND('2023.'!J175*1.025,0)</f>
        <v>94</v>
      </c>
      <c r="K175" s="112">
        <f t="shared" si="56"/>
        <v>94</v>
      </c>
      <c r="L175" s="110">
        <v>72</v>
      </c>
      <c r="M175" s="112">
        <f t="shared" si="42"/>
        <v>72</v>
      </c>
      <c r="N175" s="37">
        <f>'2023.'!N175*1.025</f>
        <v>60.957262499999999</v>
      </c>
      <c r="O175" s="21">
        <f t="shared" si="40"/>
        <v>4388.9228999999996</v>
      </c>
      <c r="P175" s="128">
        <f t="shared" si="41"/>
        <v>22</v>
      </c>
      <c r="Q175" s="128">
        <f t="shared" si="41"/>
        <v>22</v>
      </c>
    </row>
    <row r="176" spans="1:17" ht="14.5" x14ac:dyDescent="0.3">
      <c r="A176" s="16">
        <v>161</v>
      </c>
      <c r="B176" s="17">
        <v>6</v>
      </c>
      <c r="C176" s="29" t="s">
        <v>281</v>
      </c>
      <c r="D176" s="24" t="s">
        <v>6</v>
      </c>
      <c r="E176" s="24">
        <v>4</v>
      </c>
      <c r="F176" s="128">
        <f>'2023.'!P176</f>
        <v>33</v>
      </c>
      <c r="G176" s="128">
        <f>'2023.'!Q176</f>
        <v>33</v>
      </c>
      <c r="H176" s="128">
        <f t="shared" si="38"/>
        <v>14.083333333333334</v>
      </c>
      <c r="I176" s="128">
        <f t="shared" si="39"/>
        <v>14.083333333333334</v>
      </c>
      <c r="J176" s="112">
        <f>ROUND('2023.'!J176*1.025,0)</f>
        <v>169</v>
      </c>
      <c r="K176" s="112">
        <f t="shared" si="56"/>
        <v>169</v>
      </c>
      <c r="L176" s="110">
        <v>132</v>
      </c>
      <c r="M176" s="112">
        <f t="shared" si="42"/>
        <v>132</v>
      </c>
      <c r="N176" s="37">
        <f>'2023.'!N176*1.025</f>
        <v>162.97294999999997</v>
      </c>
      <c r="O176" s="21">
        <f t="shared" si="40"/>
        <v>21512.429399999997</v>
      </c>
      <c r="P176" s="128">
        <f t="shared" si="41"/>
        <v>37</v>
      </c>
      <c r="Q176" s="128">
        <f t="shared" si="41"/>
        <v>37</v>
      </c>
    </row>
    <row r="177" spans="1:17" ht="14.5" x14ac:dyDescent="0.3">
      <c r="A177" s="16">
        <v>162</v>
      </c>
      <c r="B177" s="17">
        <v>6</v>
      </c>
      <c r="C177" s="29" t="s">
        <v>283</v>
      </c>
      <c r="D177" s="24" t="s">
        <v>6</v>
      </c>
      <c r="E177" s="24">
        <v>4</v>
      </c>
      <c r="F177" s="128">
        <f>'2023.'!P177</f>
        <v>2</v>
      </c>
      <c r="G177" s="128">
        <f>'2023.'!Q177</f>
        <v>2</v>
      </c>
      <c r="H177" s="128">
        <f t="shared" si="38"/>
        <v>1.1666666666666667</v>
      </c>
      <c r="I177" s="128">
        <f t="shared" si="39"/>
        <v>1.1666666666666667</v>
      </c>
      <c r="J177" s="112">
        <f>ROUND('2023.'!J177*1.025,0)</f>
        <v>14</v>
      </c>
      <c r="K177" s="112">
        <f t="shared" si="56"/>
        <v>14</v>
      </c>
      <c r="L177" s="110">
        <v>12</v>
      </c>
      <c r="M177" s="112">
        <f t="shared" si="42"/>
        <v>12</v>
      </c>
      <c r="N177" s="37">
        <f>'2023.'!N177*1.025</f>
        <v>58.834999999999987</v>
      </c>
      <c r="O177" s="21">
        <f t="shared" si="40"/>
        <v>706.01999999999987</v>
      </c>
      <c r="P177" s="128">
        <f t="shared" si="41"/>
        <v>2</v>
      </c>
      <c r="Q177" s="128">
        <f t="shared" si="41"/>
        <v>2</v>
      </c>
    </row>
    <row r="178" spans="1:17" ht="14.5" x14ac:dyDescent="0.3">
      <c r="A178" s="16">
        <v>163</v>
      </c>
      <c r="B178" s="17">
        <v>6</v>
      </c>
      <c r="C178" s="29" t="s">
        <v>285</v>
      </c>
      <c r="D178" s="24" t="s">
        <v>6</v>
      </c>
      <c r="E178" s="24">
        <v>4</v>
      </c>
      <c r="F178" s="128">
        <f>'2023.'!P178</f>
        <v>55</v>
      </c>
      <c r="G178" s="128">
        <f>'2023.'!Q178</f>
        <v>55</v>
      </c>
      <c r="H178" s="128">
        <f t="shared" si="38"/>
        <v>21.75</v>
      </c>
      <c r="I178" s="128">
        <f t="shared" si="39"/>
        <v>21.75</v>
      </c>
      <c r="J178" s="112">
        <f>ROUND('2023.'!J178*1.025,0)</f>
        <v>261</v>
      </c>
      <c r="K178" s="112">
        <f t="shared" si="56"/>
        <v>261</v>
      </c>
      <c r="L178" s="110">
        <v>200</v>
      </c>
      <c r="M178" s="112">
        <f t="shared" si="42"/>
        <v>200</v>
      </c>
      <c r="N178" s="37">
        <f>'2023.'!N178*1.025</f>
        <v>90.605899999999977</v>
      </c>
      <c r="O178" s="21">
        <f t="shared" si="40"/>
        <v>18121.179999999997</v>
      </c>
      <c r="P178" s="128">
        <f t="shared" si="41"/>
        <v>61</v>
      </c>
      <c r="Q178" s="128">
        <f t="shared" si="41"/>
        <v>61</v>
      </c>
    </row>
    <row r="179" spans="1:17" ht="14.5" x14ac:dyDescent="0.3">
      <c r="A179" s="16">
        <v>164</v>
      </c>
      <c r="B179" s="17">
        <v>6</v>
      </c>
      <c r="C179" s="29" t="s">
        <v>287</v>
      </c>
      <c r="D179" s="24" t="s">
        <v>6</v>
      </c>
      <c r="E179" s="24">
        <v>4</v>
      </c>
      <c r="F179" s="128">
        <f>'2023.'!P179</f>
        <v>17</v>
      </c>
      <c r="G179" s="128">
        <f>'2023.'!Q179</f>
        <v>17</v>
      </c>
      <c r="H179" s="128">
        <f t="shared" si="38"/>
        <v>2.5</v>
      </c>
      <c r="I179" s="128">
        <f t="shared" si="39"/>
        <v>2.5</v>
      </c>
      <c r="J179" s="112">
        <f>ROUND('2023.'!J179*1.025,0)</f>
        <v>30</v>
      </c>
      <c r="K179" s="112">
        <f t="shared" si="56"/>
        <v>30</v>
      </c>
      <c r="L179" s="110">
        <v>12</v>
      </c>
      <c r="M179" s="112">
        <f t="shared" si="42"/>
        <v>12</v>
      </c>
      <c r="N179" s="37">
        <f>'2023.'!N179*1.025</f>
        <v>181.80014999999997</v>
      </c>
      <c r="O179" s="21">
        <f t="shared" si="40"/>
        <v>2181.6017999999995</v>
      </c>
      <c r="P179" s="128">
        <f t="shared" si="41"/>
        <v>18</v>
      </c>
      <c r="Q179" s="128">
        <f t="shared" si="41"/>
        <v>18</v>
      </c>
    </row>
    <row r="180" spans="1:17" ht="14.5" x14ac:dyDescent="0.3">
      <c r="A180" s="16">
        <v>165</v>
      </c>
      <c r="B180" s="17">
        <v>6</v>
      </c>
      <c r="C180" s="29" t="s">
        <v>288</v>
      </c>
      <c r="D180" s="24" t="s">
        <v>6</v>
      </c>
      <c r="E180" s="24">
        <v>4</v>
      </c>
      <c r="F180" s="128">
        <f>'2023.'!P180</f>
        <v>1</v>
      </c>
      <c r="G180" s="128">
        <f>'2023.'!Q180</f>
        <v>1</v>
      </c>
      <c r="H180" s="128">
        <f t="shared" si="38"/>
        <v>3.1666666666666665</v>
      </c>
      <c r="I180" s="128">
        <f t="shared" si="39"/>
        <v>3.1666666666666665</v>
      </c>
      <c r="J180" s="112">
        <f>ROUND('2023.'!J180*1.025,0)</f>
        <v>38</v>
      </c>
      <c r="K180" s="112">
        <f t="shared" si="56"/>
        <v>38</v>
      </c>
      <c r="L180" s="110">
        <v>36</v>
      </c>
      <c r="M180" s="112">
        <f t="shared" si="42"/>
        <v>36</v>
      </c>
      <c r="N180" s="37">
        <f>'2023.'!N180*1.025</f>
        <v>3046.8124999999991</v>
      </c>
      <c r="O180" s="21">
        <f t="shared" si="40"/>
        <v>109685.24999999997</v>
      </c>
      <c r="P180" s="128">
        <f t="shared" si="41"/>
        <v>2</v>
      </c>
      <c r="Q180" s="128">
        <f t="shared" si="41"/>
        <v>2</v>
      </c>
    </row>
    <row r="181" spans="1:17" s="15" customFormat="1" ht="15" customHeight="1" x14ac:dyDescent="0.3">
      <c r="A181" s="254" t="s">
        <v>289</v>
      </c>
      <c r="B181" s="254"/>
      <c r="C181" s="254"/>
      <c r="D181" s="254"/>
      <c r="E181" s="254"/>
      <c r="F181" s="12">
        <f>'2023.'!P181</f>
        <v>770</v>
      </c>
      <c r="G181" s="12">
        <f>'2023.'!Q181</f>
        <v>796</v>
      </c>
      <c r="H181" s="12">
        <f t="shared" si="38"/>
        <v>342</v>
      </c>
      <c r="I181" s="12">
        <f t="shared" si="39"/>
        <v>354.5</v>
      </c>
      <c r="J181" s="12">
        <f t="shared" ref="J181:Q181" si="57">SUM(J182:J225)</f>
        <v>4104</v>
      </c>
      <c r="K181" s="12">
        <f t="shared" si="57"/>
        <v>4254</v>
      </c>
      <c r="L181" s="12">
        <f t="shared" si="57"/>
        <v>3430</v>
      </c>
      <c r="M181" s="12">
        <f t="shared" ref="M181" si="58">SUM(M182:M225)</f>
        <v>3550</v>
      </c>
      <c r="N181" s="13" t="s">
        <v>426</v>
      </c>
      <c r="O181" s="14">
        <f t="shared" si="57"/>
        <v>2078616.3646124995</v>
      </c>
      <c r="P181" s="12">
        <f t="shared" si="57"/>
        <v>674</v>
      </c>
      <c r="Q181" s="12">
        <f t="shared" si="57"/>
        <v>704</v>
      </c>
    </row>
    <row r="182" spans="1:17" ht="14.5" x14ac:dyDescent="0.3">
      <c r="A182" s="16">
        <v>166</v>
      </c>
      <c r="B182" s="16">
        <v>7</v>
      </c>
      <c r="C182" s="29" t="s">
        <v>291</v>
      </c>
      <c r="D182" s="24" t="s">
        <v>10</v>
      </c>
      <c r="E182" s="24">
        <v>2</v>
      </c>
      <c r="F182" s="128">
        <f>'2023.'!P182</f>
        <v>0</v>
      </c>
      <c r="G182" s="128">
        <f>'2023.'!Q182</f>
        <v>0</v>
      </c>
      <c r="H182" s="127">
        <f t="shared" si="38"/>
        <v>0.25</v>
      </c>
      <c r="I182" s="127">
        <f t="shared" si="39"/>
        <v>0.25</v>
      </c>
      <c r="J182" s="112">
        <f>ROUND('2023.'!J182*1.025,0)</f>
        <v>3</v>
      </c>
      <c r="K182" s="112">
        <f t="shared" ref="K182" si="59">ROUND(IF(F182=0,J182,J182*(G182/F182)),0)</f>
        <v>3</v>
      </c>
      <c r="L182" s="110">
        <v>3</v>
      </c>
      <c r="M182" s="112">
        <f t="shared" si="42"/>
        <v>3</v>
      </c>
      <c r="N182" s="37">
        <f>'2023.'!N182*1.025</f>
        <v>4.160474999999999</v>
      </c>
      <c r="O182" s="21">
        <f t="shared" si="40"/>
        <v>12.481424999999998</v>
      </c>
      <c r="P182" s="128">
        <f t="shared" si="41"/>
        <v>0</v>
      </c>
      <c r="Q182" s="128">
        <f t="shared" si="41"/>
        <v>0</v>
      </c>
    </row>
    <row r="183" spans="1:17" ht="14.5" x14ac:dyDescent="0.3">
      <c r="A183" s="16">
        <v>167</v>
      </c>
      <c r="B183" s="16">
        <v>7</v>
      </c>
      <c r="C183" s="29" t="s">
        <v>293</v>
      </c>
      <c r="D183" s="24" t="s">
        <v>10</v>
      </c>
      <c r="E183" s="24">
        <v>2</v>
      </c>
      <c r="F183" s="128">
        <f>'2023.'!P183</f>
        <v>0</v>
      </c>
      <c r="G183" s="128">
        <f>'2023.'!Q183</f>
        <v>0</v>
      </c>
      <c r="H183" s="127">
        <f t="shared" si="38"/>
        <v>0.25</v>
      </c>
      <c r="I183" s="127">
        <f t="shared" si="39"/>
        <v>0.25</v>
      </c>
      <c r="J183" s="112">
        <f>ROUND('2023.'!J183*1.025,0)</f>
        <v>3</v>
      </c>
      <c r="K183" s="112">
        <f t="shared" ref="K183:K225" si="60">ROUND(IF(F183=0,J183,J183*(G183/F183)),0)</f>
        <v>3</v>
      </c>
      <c r="L183" s="110">
        <v>3</v>
      </c>
      <c r="M183" s="112">
        <f t="shared" si="42"/>
        <v>3</v>
      </c>
      <c r="N183" s="37">
        <f>'2023.'!N183*1.025</f>
        <v>13.405974999999998</v>
      </c>
      <c r="O183" s="21">
        <f t="shared" si="40"/>
        <v>40.217924999999994</v>
      </c>
      <c r="P183" s="128">
        <f t="shared" si="41"/>
        <v>0</v>
      </c>
      <c r="Q183" s="128">
        <f t="shared" si="41"/>
        <v>0</v>
      </c>
    </row>
    <row r="184" spans="1:17" ht="14.5" x14ac:dyDescent="0.3">
      <c r="A184" s="16">
        <v>168</v>
      </c>
      <c r="B184" s="16">
        <v>7</v>
      </c>
      <c r="C184" s="29" t="s">
        <v>295</v>
      </c>
      <c r="D184" s="24" t="s">
        <v>6</v>
      </c>
      <c r="E184" s="24">
        <v>2</v>
      </c>
      <c r="F184" s="128">
        <f>'2023.'!P184</f>
        <v>26</v>
      </c>
      <c r="G184" s="128">
        <f>'2023.'!Q184</f>
        <v>52</v>
      </c>
      <c r="H184" s="128">
        <f t="shared" si="38"/>
        <v>12.5</v>
      </c>
      <c r="I184" s="128">
        <f t="shared" si="39"/>
        <v>25</v>
      </c>
      <c r="J184" s="112">
        <f>ROUND('2023.'!J184*1.025,0)</f>
        <v>150</v>
      </c>
      <c r="K184" s="112">
        <f t="shared" si="60"/>
        <v>300</v>
      </c>
      <c r="L184" s="110">
        <v>120</v>
      </c>
      <c r="M184" s="112">
        <f t="shared" si="42"/>
        <v>240</v>
      </c>
      <c r="N184" s="37">
        <f>'2023.'!N184*1.025</f>
        <v>22.294262499999995</v>
      </c>
      <c r="O184" s="21">
        <f t="shared" si="40"/>
        <v>5350.6229999999987</v>
      </c>
      <c r="P184" s="128">
        <f t="shared" si="41"/>
        <v>30</v>
      </c>
      <c r="Q184" s="128">
        <f t="shared" si="41"/>
        <v>60</v>
      </c>
    </row>
    <row r="185" spans="1:17" ht="14.5" x14ac:dyDescent="0.3">
      <c r="A185" s="16">
        <v>169</v>
      </c>
      <c r="B185" s="16">
        <v>7</v>
      </c>
      <c r="C185" s="29" t="s">
        <v>297</v>
      </c>
      <c r="D185" s="24" t="s">
        <v>6</v>
      </c>
      <c r="E185" s="24">
        <v>3</v>
      </c>
      <c r="F185" s="128">
        <f>'2023.'!P185</f>
        <v>46</v>
      </c>
      <c r="G185" s="128">
        <f>'2023.'!Q185</f>
        <v>46</v>
      </c>
      <c r="H185" s="128">
        <f t="shared" si="38"/>
        <v>22.416666666666668</v>
      </c>
      <c r="I185" s="128">
        <f t="shared" si="39"/>
        <v>22.416666666666668</v>
      </c>
      <c r="J185" s="112">
        <f>ROUND('2023.'!J185*1.025,0)</f>
        <v>269</v>
      </c>
      <c r="K185" s="112">
        <f t="shared" si="60"/>
        <v>269</v>
      </c>
      <c r="L185" s="110">
        <v>216</v>
      </c>
      <c r="M185" s="112">
        <f t="shared" si="42"/>
        <v>216</v>
      </c>
      <c r="N185" s="37">
        <f>'2023.'!N185*1.025</f>
        <v>28.125231249999995</v>
      </c>
      <c r="O185" s="21">
        <f t="shared" si="40"/>
        <v>6075.0499499999987</v>
      </c>
      <c r="P185" s="128">
        <f t="shared" si="41"/>
        <v>53</v>
      </c>
      <c r="Q185" s="128">
        <f t="shared" si="41"/>
        <v>53</v>
      </c>
    </row>
    <row r="186" spans="1:17" ht="14.5" x14ac:dyDescent="0.3">
      <c r="A186" s="16">
        <v>170</v>
      </c>
      <c r="B186" s="16">
        <v>7</v>
      </c>
      <c r="C186" s="29" t="s">
        <v>299</v>
      </c>
      <c r="D186" s="24" t="s">
        <v>6</v>
      </c>
      <c r="E186" s="24">
        <v>3</v>
      </c>
      <c r="F186" s="128">
        <f>'2023.'!P186</f>
        <v>4</v>
      </c>
      <c r="G186" s="128">
        <f>'2023.'!Q186</f>
        <v>4</v>
      </c>
      <c r="H186" s="128">
        <f t="shared" si="38"/>
        <v>1.3333333333333333</v>
      </c>
      <c r="I186" s="128">
        <f t="shared" si="39"/>
        <v>1.3333333333333333</v>
      </c>
      <c r="J186" s="112">
        <f>ROUND('2023.'!J186*1.025,0)</f>
        <v>16</v>
      </c>
      <c r="K186" s="112">
        <f t="shared" si="60"/>
        <v>16</v>
      </c>
      <c r="L186" s="110">
        <v>12</v>
      </c>
      <c r="M186" s="112">
        <f t="shared" si="42"/>
        <v>12</v>
      </c>
      <c r="N186" s="37">
        <f>'2023.'!N186*1.025</f>
        <v>35.300999999999995</v>
      </c>
      <c r="O186" s="21">
        <f t="shared" si="40"/>
        <v>423.61199999999997</v>
      </c>
      <c r="P186" s="128">
        <f t="shared" si="41"/>
        <v>4</v>
      </c>
      <c r="Q186" s="128">
        <f t="shared" si="41"/>
        <v>4</v>
      </c>
    </row>
    <row r="187" spans="1:17" ht="14.5" x14ac:dyDescent="0.3">
      <c r="A187" s="16">
        <v>171</v>
      </c>
      <c r="B187" s="16">
        <v>7</v>
      </c>
      <c r="C187" s="29" t="s">
        <v>301</v>
      </c>
      <c r="D187" s="24" t="s">
        <v>10</v>
      </c>
      <c r="E187" s="24">
        <v>3</v>
      </c>
      <c r="F187" s="128">
        <f>'2023.'!P187</f>
        <v>1</v>
      </c>
      <c r="G187" s="128">
        <f>'2023.'!Q187</f>
        <v>1</v>
      </c>
      <c r="H187" s="128">
        <f t="shared" si="38"/>
        <v>1.3333333333333333</v>
      </c>
      <c r="I187" s="128">
        <f t="shared" si="39"/>
        <v>1.3333333333333333</v>
      </c>
      <c r="J187" s="112">
        <f>ROUND('2023.'!J187*1.025,0)</f>
        <v>16</v>
      </c>
      <c r="K187" s="112">
        <f t="shared" si="60"/>
        <v>16</v>
      </c>
      <c r="L187" s="110">
        <v>15</v>
      </c>
      <c r="M187" s="112">
        <f t="shared" si="42"/>
        <v>15</v>
      </c>
      <c r="N187" s="37">
        <f>'2023.'!N187*1.025</f>
        <v>50.598099999999988</v>
      </c>
      <c r="O187" s="21">
        <f t="shared" si="40"/>
        <v>758.97149999999988</v>
      </c>
      <c r="P187" s="128">
        <f t="shared" si="41"/>
        <v>1</v>
      </c>
      <c r="Q187" s="128">
        <f t="shared" si="41"/>
        <v>1</v>
      </c>
    </row>
    <row r="188" spans="1:17" ht="14.5" x14ac:dyDescent="0.3">
      <c r="A188" s="16">
        <v>172</v>
      </c>
      <c r="B188" s="16">
        <v>7</v>
      </c>
      <c r="C188" s="29" t="s">
        <v>303</v>
      </c>
      <c r="D188" s="24" t="s">
        <v>10</v>
      </c>
      <c r="E188" s="24">
        <v>2</v>
      </c>
      <c r="F188" s="128">
        <f>'2023.'!P188</f>
        <v>0</v>
      </c>
      <c r="G188" s="128">
        <f>'2023.'!Q188</f>
        <v>0</v>
      </c>
      <c r="H188" s="127">
        <f t="shared" si="38"/>
        <v>0.25</v>
      </c>
      <c r="I188" s="127">
        <f t="shared" si="39"/>
        <v>0.25</v>
      </c>
      <c r="J188" s="112">
        <f>ROUND('2023.'!J188*1.025,0)</f>
        <v>3</v>
      </c>
      <c r="K188" s="112">
        <f t="shared" si="60"/>
        <v>3</v>
      </c>
      <c r="L188" s="110">
        <v>3</v>
      </c>
      <c r="M188" s="112">
        <f t="shared" si="42"/>
        <v>3</v>
      </c>
      <c r="N188" s="37">
        <f>'2023.'!N188*1.025</f>
        <v>198.77824999999996</v>
      </c>
      <c r="O188" s="21">
        <f t="shared" si="40"/>
        <v>596.33474999999987</v>
      </c>
      <c r="P188" s="128">
        <f t="shared" si="41"/>
        <v>0</v>
      </c>
      <c r="Q188" s="128">
        <f t="shared" si="41"/>
        <v>0</v>
      </c>
    </row>
    <row r="189" spans="1:17" ht="14.5" x14ac:dyDescent="0.3">
      <c r="A189" s="16">
        <v>173</v>
      </c>
      <c r="B189" s="16">
        <v>7</v>
      </c>
      <c r="C189" s="29" t="s">
        <v>305</v>
      </c>
      <c r="D189" s="24" t="s">
        <v>10</v>
      </c>
      <c r="E189" s="24">
        <v>3</v>
      </c>
      <c r="F189" s="128">
        <f>'2023.'!P189</f>
        <v>11</v>
      </c>
      <c r="G189" s="128">
        <f>'2023.'!Q189</f>
        <v>11</v>
      </c>
      <c r="H189" s="128">
        <f t="shared" si="38"/>
        <v>3</v>
      </c>
      <c r="I189" s="128">
        <f t="shared" si="39"/>
        <v>3</v>
      </c>
      <c r="J189" s="112">
        <f>ROUND('2023.'!J189*1.025,0)</f>
        <v>36</v>
      </c>
      <c r="K189" s="112">
        <f t="shared" si="60"/>
        <v>36</v>
      </c>
      <c r="L189" s="110">
        <v>24</v>
      </c>
      <c r="M189" s="112">
        <f t="shared" si="42"/>
        <v>24</v>
      </c>
      <c r="N189" s="37">
        <f>'2023.'!N189*1.025</f>
        <v>48.833049999999993</v>
      </c>
      <c r="O189" s="21">
        <f t="shared" si="40"/>
        <v>1171.9931999999999</v>
      </c>
      <c r="P189" s="128">
        <f t="shared" si="41"/>
        <v>12</v>
      </c>
      <c r="Q189" s="128">
        <f t="shared" si="41"/>
        <v>12</v>
      </c>
    </row>
    <row r="190" spans="1:17" ht="14.5" x14ac:dyDescent="0.3">
      <c r="A190" s="16">
        <v>174</v>
      </c>
      <c r="B190" s="16">
        <v>7</v>
      </c>
      <c r="C190" s="29" t="s">
        <v>307</v>
      </c>
      <c r="D190" s="24" t="s">
        <v>10</v>
      </c>
      <c r="E190" s="24">
        <v>3</v>
      </c>
      <c r="F190" s="128">
        <f>'2023.'!P190</f>
        <v>9</v>
      </c>
      <c r="G190" s="128">
        <f>'2023.'!Q190</f>
        <v>9</v>
      </c>
      <c r="H190" s="128">
        <f t="shared" si="38"/>
        <v>3.8333333333333335</v>
      </c>
      <c r="I190" s="128">
        <f t="shared" si="39"/>
        <v>3.8333333333333335</v>
      </c>
      <c r="J190" s="112">
        <f>ROUND('2023.'!J190*1.025,0)</f>
        <v>46</v>
      </c>
      <c r="K190" s="112">
        <f t="shared" si="60"/>
        <v>46</v>
      </c>
      <c r="L190" s="110">
        <v>36</v>
      </c>
      <c r="M190" s="112">
        <f t="shared" si="42"/>
        <v>36</v>
      </c>
      <c r="N190" s="37">
        <f>'2023.'!N190*1.025</f>
        <v>54.128199999999993</v>
      </c>
      <c r="O190" s="21">
        <f t="shared" si="40"/>
        <v>1948.6151999999997</v>
      </c>
      <c r="P190" s="128">
        <f t="shared" si="41"/>
        <v>10</v>
      </c>
      <c r="Q190" s="128">
        <f t="shared" si="41"/>
        <v>10</v>
      </c>
    </row>
    <row r="191" spans="1:17" ht="14.5" x14ac:dyDescent="0.3">
      <c r="A191" s="16">
        <v>175</v>
      </c>
      <c r="B191" s="16">
        <v>7</v>
      </c>
      <c r="C191" s="29" t="s">
        <v>309</v>
      </c>
      <c r="D191" s="24" t="s">
        <v>10</v>
      </c>
      <c r="E191" s="24">
        <v>3</v>
      </c>
      <c r="F191" s="128">
        <f>'2023.'!P191</f>
        <v>62</v>
      </c>
      <c r="G191" s="128">
        <f>'2023.'!Q191</f>
        <v>62</v>
      </c>
      <c r="H191" s="128">
        <f t="shared" si="38"/>
        <v>39.5</v>
      </c>
      <c r="I191" s="128">
        <f t="shared" si="39"/>
        <v>39.5</v>
      </c>
      <c r="J191" s="112">
        <f>ROUND('2023.'!J191*1.025,0)</f>
        <v>474</v>
      </c>
      <c r="K191" s="112">
        <f t="shared" si="60"/>
        <v>474</v>
      </c>
      <c r="L191" s="110">
        <v>400</v>
      </c>
      <c r="M191" s="112">
        <f t="shared" si="42"/>
        <v>400</v>
      </c>
      <c r="N191" s="37">
        <f>'2023.'!N191*1.025</f>
        <v>57.59526249999999</v>
      </c>
      <c r="O191" s="21">
        <f t="shared" si="40"/>
        <v>23038.104999999996</v>
      </c>
      <c r="P191" s="128">
        <f t="shared" si="41"/>
        <v>74</v>
      </c>
      <c r="Q191" s="128">
        <f t="shared" si="41"/>
        <v>74</v>
      </c>
    </row>
    <row r="192" spans="1:17" ht="14.5" x14ac:dyDescent="0.3">
      <c r="A192" s="16">
        <v>176</v>
      </c>
      <c r="B192" s="16">
        <v>7</v>
      </c>
      <c r="C192" s="29" t="s">
        <v>311</v>
      </c>
      <c r="D192" s="24" t="s">
        <v>10</v>
      </c>
      <c r="E192" s="24">
        <v>3</v>
      </c>
      <c r="F192" s="128">
        <f>'2023.'!P192</f>
        <v>9</v>
      </c>
      <c r="G192" s="128">
        <f>'2023.'!Q192</f>
        <v>9</v>
      </c>
      <c r="H192" s="128">
        <f t="shared" si="38"/>
        <v>2.8333333333333335</v>
      </c>
      <c r="I192" s="128">
        <f t="shared" si="39"/>
        <v>2.8333333333333335</v>
      </c>
      <c r="J192" s="112">
        <f>ROUND('2023.'!J192*1.025,0)</f>
        <v>34</v>
      </c>
      <c r="K192" s="112">
        <f t="shared" si="60"/>
        <v>34</v>
      </c>
      <c r="L192" s="110">
        <v>24</v>
      </c>
      <c r="M192" s="112">
        <f t="shared" si="42"/>
        <v>24</v>
      </c>
      <c r="N192" s="37">
        <f>'2023.'!N192*1.025</f>
        <v>84.722399999999979</v>
      </c>
      <c r="O192" s="21">
        <f t="shared" si="40"/>
        <v>2033.3375999999994</v>
      </c>
      <c r="P192" s="128">
        <f t="shared" si="41"/>
        <v>10</v>
      </c>
      <c r="Q192" s="128">
        <f t="shared" si="41"/>
        <v>10</v>
      </c>
    </row>
    <row r="193" spans="1:17" ht="14.5" x14ac:dyDescent="0.3">
      <c r="A193" s="16">
        <v>177</v>
      </c>
      <c r="B193" s="16">
        <v>7</v>
      </c>
      <c r="C193" s="29" t="s">
        <v>313</v>
      </c>
      <c r="D193" s="24" t="s">
        <v>10</v>
      </c>
      <c r="E193" s="24">
        <v>2</v>
      </c>
      <c r="F193" s="128">
        <f>'2023.'!P193</f>
        <v>0</v>
      </c>
      <c r="G193" s="128">
        <f>'2023.'!Q193</f>
        <v>0</v>
      </c>
      <c r="H193" s="127">
        <f t="shared" si="38"/>
        <v>0.25</v>
      </c>
      <c r="I193" s="127">
        <f t="shared" si="39"/>
        <v>0.25</v>
      </c>
      <c r="J193" s="112">
        <f>ROUND('2023.'!J193*1.025,0)</f>
        <v>3</v>
      </c>
      <c r="K193" s="112">
        <f t="shared" si="60"/>
        <v>3</v>
      </c>
      <c r="L193" s="110">
        <v>3</v>
      </c>
      <c r="M193" s="112">
        <f t="shared" si="42"/>
        <v>3</v>
      </c>
      <c r="N193" s="37">
        <f>'2023.'!N193*1.025</f>
        <v>176.50499999999997</v>
      </c>
      <c r="O193" s="21">
        <f t="shared" si="40"/>
        <v>529.51499999999987</v>
      </c>
      <c r="P193" s="128">
        <f t="shared" si="41"/>
        <v>0</v>
      </c>
      <c r="Q193" s="128">
        <f t="shared" si="41"/>
        <v>0</v>
      </c>
    </row>
    <row r="194" spans="1:17" ht="14.5" x14ac:dyDescent="0.3">
      <c r="A194" s="16">
        <v>178</v>
      </c>
      <c r="B194" s="16">
        <v>7</v>
      </c>
      <c r="C194" s="29" t="s">
        <v>315</v>
      </c>
      <c r="D194" s="24" t="s">
        <v>10</v>
      </c>
      <c r="E194" s="24">
        <v>2</v>
      </c>
      <c r="F194" s="128">
        <f>'2023.'!P194</f>
        <v>1</v>
      </c>
      <c r="G194" s="128">
        <f>'2023.'!Q194</f>
        <v>1</v>
      </c>
      <c r="H194" s="128">
        <f t="shared" si="38"/>
        <v>1.0833333333333333</v>
      </c>
      <c r="I194" s="128">
        <f t="shared" si="39"/>
        <v>1.0833333333333333</v>
      </c>
      <c r="J194" s="112">
        <f>ROUND('2023.'!J194*1.025,0)</f>
        <v>13</v>
      </c>
      <c r="K194" s="112">
        <f t="shared" si="60"/>
        <v>13</v>
      </c>
      <c r="L194" s="110">
        <v>12</v>
      </c>
      <c r="M194" s="112">
        <f t="shared" si="42"/>
        <v>12</v>
      </c>
      <c r="N194" s="37">
        <f>'2023.'!N194*1.025</f>
        <v>1115.5115999999998</v>
      </c>
      <c r="O194" s="21">
        <f t="shared" si="40"/>
        <v>13386.139199999998</v>
      </c>
      <c r="P194" s="128">
        <f t="shared" si="41"/>
        <v>1</v>
      </c>
      <c r="Q194" s="128">
        <f t="shared" si="41"/>
        <v>1</v>
      </c>
    </row>
    <row r="195" spans="1:17" ht="14.5" x14ac:dyDescent="0.3">
      <c r="A195" s="16">
        <v>179</v>
      </c>
      <c r="B195" s="16">
        <v>7</v>
      </c>
      <c r="C195" s="29" t="s">
        <v>317</v>
      </c>
      <c r="D195" s="24" t="s">
        <v>10</v>
      </c>
      <c r="E195" s="24">
        <v>3</v>
      </c>
      <c r="F195" s="128">
        <f>'2023.'!P195</f>
        <v>24</v>
      </c>
      <c r="G195" s="128">
        <f>'2023.'!Q195</f>
        <v>24</v>
      </c>
      <c r="H195" s="128">
        <f t="shared" si="38"/>
        <v>9.25</v>
      </c>
      <c r="I195" s="128">
        <f t="shared" si="39"/>
        <v>9.25</v>
      </c>
      <c r="J195" s="112">
        <f>ROUND('2023.'!J195*1.025,0)</f>
        <v>111</v>
      </c>
      <c r="K195" s="112">
        <f t="shared" si="60"/>
        <v>111</v>
      </c>
      <c r="L195" s="110">
        <v>84</v>
      </c>
      <c r="M195" s="112">
        <f t="shared" si="42"/>
        <v>84</v>
      </c>
      <c r="N195" s="37">
        <f>'2023.'!N195*1.025</f>
        <v>70.60199999999999</v>
      </c>
      <c r="O195" s="21">
        <f t="shared" si="40"/>
        <v>5930.5679999999993</v>
      </c>
      <c r="P195" s="128">
        <f t="shared" si="41"/>
        <v>27</v>
      </c>
      <c r="Q195" s="128">
        <f t="shared" si="41"/>
        <v>27</v>
      </c>
    </row>
    <row r="196" spans="1:17" ht="14.5" x14ac:dyDescent="0.3">
      <c r="A196" s="16">
        <v>180</v>
      </c>
      <c r="B196" s="16">
        <v>7</v>
      </c>
      <c r="C196" s="29" t="s">
        <v>319</v>
      </c>
      <c r="D196" s="24" t="s">
        <v>10</v>
      </c>
      <c r="E196" s="24">
        <v>2</v>
      </c>
      <c r="F196" s="128">
        <f>'2023.'!P196</f>
        <v>0</v>
      </c>
      <c r="G196" s="128">
        <f>'2023.'!Q196</f>
        <v>0</v>
      </c>
      <c r="H196" s="128">
        <f t="shared" si="38"/>
        <v>1</v>
      </c>
      <c r="I196" s="128">
        <f t="shared" si="39"/>
        <v>1</v>
      </c>
      <c r="J196" s="112">
        <f>ROUND('2023.'!J196*1.025,0)</f>
        <v>12</v>
      </c>
      <c r="K196" s="112">
        <f t="shared" si="60"/>
        <v>12</v>
      </c>
      <c r="L196" s="110">
        <v>12</v>
      </c>
      <c r="M196" s="112">
        <f t="shared" si="42"/>
        <v>12</v>
      </c>
      <c r="N196" s="37">
        <f>'2023.'!N196*1.025</f>
        <v>922.23862499999984</v>
      </c>
      <c r="O196" s="21">
        <f t="shared" si="40"/>
        <v>11066.863499999998</v>
      </c>
      <c r="P196" s="128">
        <f t="shared" si="41"/>
        <v>0</v>
      </c>
      <c r="Q196" s="128">
        <f t="shared" si="41"/>
        <v>0</v>
      </c>
    </row>
    <row r="197" spans="1:17" ht="14.5" x14ac:dyDescent="0.3">
      <c r="A197" s="16">
        <v>181</v>
      </c>
      <c r="B197" s="16">
        <v>7</v>
      </c>
      <c r="C197" s="29" t="s">
        <v>321</v>
      </c>
      <c r="D197" s="24" t="s">
        <v>10</v>
      </c>
      <c r="E197" s="24">
        <v>2</v>
      </c>
      <c r="F197" s="128">
        <f>'2023.'!P197</f>
        <v>1</v>
      </c>
      <c r="G197" s="128">
        <f>'2023.'!Q197</f>
        <v>1</v>
      </c>
      <c r="H197" s="128">
        <f t="shared" si="38"/>
        <v>1.0833333333333333</v>
      </c>
      <c r="I197" s="128">
        <f t="shared" si="39"/>
        <v>1.0833333333333333</v>
      </c>
      <c r="J197" s="112">
        <f>ROUND('2023.'!J197*1.025,0)</f>
        <v>13</v>
      </c>
      <c r="K197" s="112">
        <f t="shared" si="60"/>
        <v>13</v>
      </c>
      <c r="L197" s="110">
        <v>12</v>
      </c>
      <c r="M197" s="112">
        <f t="shared" si="42"/>
        <v>12</v>
      </c>
      <c r="N197" s="37">
        <f>'2023.'!N197*1.025</f>
        <v>1526.1798999999999</v>
      </c>
      <c r="O197" s="21">
        <f t="shared" si="40"/>
        <v>18314.158799999997</v>
      </c>
      <c r="P197" s="128">
        <f t="shared" si="41"/>
        <v>1</v>
      </c>
      <c r="Q197" s="128">
        <f t="shared" si="41"/>
        <v>1</v>
      </c>
    </row>
    <row r="198" spans="1:17" ht="14.5" x14ac:dyDescent="0.3">
      <c r="A198" s="16">
        <v>182</v>
      </c>
      <c r="B198" s="16">
        <v>7</v>
      </c>
      <c r="C198" s="29" t="s">
        <v>323</v>
      </c>
      <c r="D198" s="24" t="s">
        <v>10</v>
      </c>
      <c r="E198" s="24">
        <v>3</v>
      </c>
      <c r="F198" s="128">
        <f>'2023.'!P198</f>
        <v>15</v>
      </c>
      <c r="G198" s="128">
        <f>'2023.'!Q198</f>
        <v>15</v>
      </c>
      <c r="H198" s="128">
        <f t="shared" si="38"/>
        <v>5.416666666666667</v>
      </c>
      <c r="I198" s="128">
        <f t="shared" si="39"/>
        <v>5.416666666666667</v>
      </c>
      <c r="J198" s="112">
        <f>ROUND('2023.'!J198*1.025,0)</f>
        <v>65</v>
      </c>
      <c r="K198" s="112">
        <f t="shared" si="60"/>
        <v>65</v>
      </c>
      <c r="L198" s="110">
        <v>48</v>
      </c>
      <c r="M198" s="112">
        <f t="shared" si="42"/>
        <v>48</v>
      </c>
      <c r="N198" s="37">
        <f>'2023.'!N198*1.025</f>
        <v>2420.4719</v>
      </c>
      <c r="O198" s="21">
        <f t="shared" si="40"/>
        <v>116182.65119999999</v>
      </c>
      <c r="P198" s="128">
        <f t="shared" si="41"/>
        <v>17</v>
      </c>
      <c r="Q198" s="128">
        <f t="shared" si="41"/>
        <v>17</v>
      </c>
    </row>
    <row r="199" spans="1:17" ht="14.5" x14ac:dyDescent="0.3">
      <c r="A199" s="16">
        <v>183</v>
      </c>
      <c r="B199" s="16">
        <v>7</v>
      </c>
      <c r="C199" s="29" t="s">
        <v>325</v>
      </c>
      <c r="D199" s="24" t="s">
        <v>10</v>
      </c>
      <c r="E199" s="24">
        <v>4</v>
      </c>
      <c r="F199" s="128">
        <f>'2023.'!P199</f>
        <v>13</v>
      </c>
      <c r="G199" s="128">
        <f>'2023.'!Q199</f>
        <v>13</v>
      </c>
      <c r="H199" s="128">
        <f t="shared" si="38"/>
        <v>10.333333333333334</v>
      </c>
      <c r="I199" s="128">
        <f t="shared" si="39"/>
        <v>10.333333333333334</v>
      </c>
      <c r="J199" s="112">
        <f>ROUND('2023.'!J199*1.025,0)</f>
        <v>124</v>
      </c>
      <c r="K199" s="112">
        <f t="shared" si="60"/>
        <v>124</v>
      </c>
      <c r="L199" s="110">
        <v>108</v>
      </c>
      <c r="M199" s="112">
        <f t="shared" si="42"/>
        <v>108</v>
      </c>
      <c r="N199" s="37">
        <f>'2023.'!N199*1.025</f>
        <v>623.58796249999989</v>
      </c>
      <c r="O199" s="21">
        <f t="shared" si="40"/>
        <v>67347.499949999983</v>
      </c>
      <c r="P199" s="128">
        <f t="shared" si="41"/>
        <v>16</v>
      </c>
      <c r="Q199" s="128">
        <f t="shared" si="41"/>
        <v>16</v>
      </c>
    </row>
    <row r="200" spans="1:17" ht="14.5" x14ac:dyDescent="0.3">
      <c r="A200" s="16">
        <v>184</v>
      </c>
      <c r="B200" s="16">
        <v>7</v>
      </c>
      <c r="C200" s="29" t="s">
        <v>327</v>
      </c>
      <c r="D200" s="24" t="s">
        <v>10</v>
      </c>
      <c r="E200" s="24">
        <v>3</v>
      </c>
      <c r="F200" s="128">
        <f>'2023.'!P200</f>
        <v>1</v>
      </c>
      <c r="G200" s="128">
        <f>'2023.'!Q200</f>
        <v>1</v>
      </c>
      <c r="H200" s="128">
        <f t="shared" si="38"/>
        <v>0.58333333333333337</v>
      </c>
      <c r="I200" s="128">
        <f t="shared" si="39"/>
        <v>0.58333333333333337</v>
      </c>
      <c r="J200" s="112">
        <f>ROUND('2023.'!J200*1.025,0)</f>
        <v>7</v>
      </c>
      <c r="K200" s="112">
        <f t="shared" si="60"/>
        <v>7</v>
      </c>
      <c r="L200" s="110">
        <v>6</v>
      </c>
      <c r="M200" s="112">
        <f t="shared" si="42"/>
        <v>6</v>
      </c>
      <c r="N200" s="37">
        <f>'2023.'!N200*1.025</f>
        <v>530.69169999999986</v>
      </c>
      <c r="O200" s="21">
        <f t="shared" si="40"/>
        <v>3184.1501999999991</v>
      </c>
      <c r="P200" s="128">
        <f t="shared" si="41"/>
        <v>1</v>
      </c>
      <c r="Q200" s="128">
        <f t="shared" si="41"/>
        <v>1</v>
      </c>
    </row>
    <row r="201" spans="1:17" ht="14.5" x14ac:dyDescent="0.3">
      <c r="A201" s="16">
        <v>185</v>
      </c>
      <c r="B201" s="16">
        <v>7</v>
      </c>
      <c r="C201" s="26" t="s">
        <v>328</v>
      </c>
      <c r="D201" s="27" t="s">
        <v>6</v>
      </c>
      <c r="E201" s="27">
        <v>2</v>
      </c>
      <c r="F201" s="128">
        <f>'2023.'!P201</f>
        <v>1</v>
      </c>
      <c r="G201" s="128">
        <f>'2023.'!Q201</f>
        <v>1</v>
      </c>
      <c r="H201" s="128">
        <f t="shared" ref="H201:H245" si="61">J201/12</f>
        <v>3.1666666666666665</v>
      </c>
      <c r="I201" s="128">
        <f t="shared" ref="I201:I245" si="62">K201/12</f>
        <v>3.1666666666666665</v>
      </c>
      <c r="J201" s="112">
        <f>ROUND('2023.'!J201*1.025,0)</f>
        <v>38</v>
      </c>
      <c r="K201" s="112">
        <f t="shared" si="60"/>
        <v>38</v>
      </c>
      <c r="L201" s="110">
        <v>36</v>
      </c>
      <c r="M201" s="112">
        <f t="shared" si="42"/>
        <v>36</v>
      </c>
      <c r="N201" s="37">
        <f>'2023.'!N201*1.025</f>
        <v>1492.9381249999997</v>
      </c>
      <c r="O201" s="21">
        <f t="shared" ref="O201:O245" si="63">N201*M201</f>
        <v>53745.772499999992</v>
      </c>
      <c r="P201" s="128">
        <f t="shared" ref="P201:Q245" si="64">J201-L201</f>
        <v>2</v>
      </c>
      <c r="Q201" s="128">
        <f t="shared" si="64"/>
        <v>2</v>
      </c>
    </row>
    <row r="202" spans="1:17" ht="24.65" customHeight="1" x14ac:dyDescent="0.3">
      <c r="A202" s="16">
        <v>186</v>
      </c>
      <c r="B202" s="16">
        <v>7</v>
      </c>
      <c r="C202" s="29" t="s">
        <v>330</v>
      </c>
      <c r="D202" s="24" t="s">
        <v>10</v>
      </c>
      <c r="E202" s="24">
        <v>3</v>
      </c>
      <c r="F202" s="128">
        <f>'2023.'!P202</f>
        <v>161</v>
      </c>
      <c r="G202" s="128">
        <f>'2023.'!Q202</f>
        <v>161</v>
      </c>
      <c r="H202" s="128">
        <f t="shared" si="61"/>
        <v>103.41666666666667</v>
      </c>
      <c r="I202" s="128">
        <f t="shared" si="62"/>
        <v>103.41666666666667</v>
      </c>
      <c r="J202" s="112">
        <f>ROUND('2023.'!J202*1.025,0)</f>
        <v>1241</v>
      </c>
      <c r="K202" s="112">
        <f t="shared" si="60"/>
        <v>1241</v>
      </c>
      <c r="L202" s="110">
        <v>1200</v>
      </c>
      <c r="M202" s="112">
        <f t="shared" si="42"/>
        <v>1200</v>
      </c>
      <c r="N202" s="37">
        <f>'2023.'!N202*1.025</f>
        <v>215.27306249999995</v>
      </c>
      <c r="O202" s="21">
        <f t="shared" si="63"/>
        <v>258327.67499999993</v>
      </c>
      <c r="P202" s="128">
        <f t="shared" si="64"/>
        <v>41</v>
      </c>
      <c r="Q202" s="128">
        <f t="shared" si="64"/>
        <v>41</v>
      </c>
    </row>
    <row r="203" spans="1:17" ht="45" customHeight="1" x14ac:dyDescent="0.3">
      <c r="A203" s="16">
        <v>187</v>
      </c>
      <c r="B203" s="16">
        <v>7</v>
      </c>
      <c r="C203" s="29" t="s">
        <v>332</v>
      </c>
      <c r="D203" s="24" t="s">
        <v>10</v>
      </c>
      <c r="E203" s="24">
        <v>3</v>
      </c>
      <c r="F203" s="128">
        <f>'2023.'!P203</f>
        <v>0</v>
      </c>
      <c r="G203" s="128">
        <f>'2023.'!Q203</f>
        <v>0</v>
      </c>
      <c r="H203" s="127">
        <f t="shared" si="61"/>
        <v>0.25</v>
      </c>
      <c r="I203" s="127">
        <f t="shared" si="62"/>
        <v>0.25</v>
      </c>
      <c r="J203" s="112">
        <f>ROUND('2023.'!J203*1.025,0)</f>
        <v>3</v>
      </c>
      <c r="K203" s="112">
        <f t="shared" si="60"/>
        <v>3</v>
      </c>
      <c r="L203" s="110">
        <v>3</v>
      </c>
      <c r="M203" s="112">
        <f t="shared" si="42"/>
        <v>3</v>
      </c>
      <c r="N203" s="37">
        <f>'2023.'!N203*1.025</f>
        <v>1494.4089999999999</v>
      </c>
      <c r="O203" s="21">
        <f t="shared" si="63"/>
        <v>4483.2269999999999</v>
      </c>
      <c r="P203" s="128">
        <f t="shared" si="64"/>
        <v>0</v>
      </c>
      <c r="Q203" s="128">
        <f t="shared" si="64"/>
        <v>0</v>
      </c>
    </row>
    <row r="204" spans="1:17" ht="45" customHeight="1" x14ac:dyDescent="0.3">
      <c r="A204" s="16">
        <v>188</v>
      </c>
      <c r="B204" s="16">
        <v>7</v>
      </c>
      <c r="C204" s="29" t="s">
        <v>334</v>
      </c>
      <c r="D204" s="24" t="s">
        <v>10</v>
      </c>
      <c r="E204" s="24">
        <v>3</v>
      </c>
      <c r="F204" s="128">
        <f>'2023.'!P204</f>
        <v>19</v>
      </c>
      <c r="G204" s="128">
        <f>'2023.'!Q204</f>
        <v>19</v>
      </c>
      <c r="H204" s="128">
        <f t="shared" si="61"/>
        <v>3.6666666666666665</v>
      </c>
      <c r="I204" s="128">
        <f t="shared" si="62"/>
        <v>3.6666666666666665</v>
      </c>
      <c r="J204" s="112">
        <f>ROUND('2023.'!J204*1.025,0)</f>
        <v>44</v>
      </c>
      <c r="K204" s="112">
        <f t="shared" si="60"/>
        <v>44</v>
      </c>
      <c r="L204" s="110">
        <v>24</v>
      </c>
      <c r="M204" s="112">
        <f t="shared" si="42"/>
        <v>24</v>
      </c>
      <c r="N204" s="37">
        <f>'2023.'!N204*1.025</f>
        <v>1612.079</v>
      </c>
      <c r="O204" s="21">
        <f t="shared" si="63"/>
        <v>38689.896000000001</v>
      </c>
      <c r="P204" s="128">
        <f t="shared" si="64"/>
        <v>20</v>
      </c>
      <c r="Q204" s="128">
        <f t="shared" si="64"/>
        <v>20</v>
      </c>
    </row>
    <row r="205" spans="1:17" ht="51" customHeight="1" x14ac:dyDescent="0.3">
      <c r="A205" s="16">
        <v>189</v>
      </c>
      <c r="B205" s="16">
        <v>7</v>
      </c>
      <c r="C205" s="29" t="s">
        <v>336</v>
      </c>
      <c r="D205" s="24" t="s">
        <v>10</v>
      </c>
      <c r="E205" s="24">
        <v>4</v>
      </c>
      <c r="F205" s="128">
        <f>'2023.'!P205</f>
        <v>14</v>
      </c>
      <c r="G205" s="128">
        <f>'2023.'!Q205</f>
        <v>14</v>
      </c>
      <c r="H205" s="128">
        <f t="shared" si="61"/>
        <v>5.5</v>
      </c>
      <c r="I205" s="128">
        <f t="shared" si="62"/>
        <v>5.5</v>
      </c>
      <c r="J205" s="112">
        <f>ROUND('2023.'!J205*1.025,0)</f>
        <v>66</v>
      </c>
      <c r="K205" s="112">
        <f t="shared" si="60"/>
        <v>66</v>
      </c>
      <c r="L205" s="110">
        <v>50</v>
      </c>
      <c r="M205" s="112">
        <f t="shared" si="42"/>
        <v>50</v>
      </c>
      <c r="N205" s="37">
        <f>'2023.'!N205*1.025</f>
        <v>2282.7979999999998</v>
      </c>
      <c r="O205" s="21">
        <f t="shared" si="63"/>
        <v>114139.9</v>
      </c>
      <c r="P205" s="128">
        <f t="shared" si="64"/>
        <v>16</v>
      </c>
      <c r="Q205" s="128">
        <f t="shared" si="64"/>
        <v>16</v>
      </c>
    </row>
    <row r="206" spans="1:17" ht="57" customHeight="1" x14ac:dyDescent="0.3">
      <c r="A206" s="16">
        <v>190</v>
      </c>
      <c r="B206" s="16">
        <v>7</v>
      </c>
      <c r="C206" s="29" t="s">
        <v>338</v>
      </c>
      <c r="D206" s="24" t="s">
        <v>10</v>
      </c>
      <c r="E206" s="24">
        <v>4</v>
      </c>
      <c r="F206" s="128">
        <f>'2023.'!P206</f>
        <v>14</v>
      </c>
      <c r="G206" s="128">
        <f>'2023.'!Q206</f>
        <v>14</v>
      </c>
      <c r="H206" s="128">
        <f t="shared" si="61"/>
        <v>2.25</v>
      </c>
      <c r="I206" s="128">
        <f t="shared" si="62"/>
        <v>2.25</v>
      </c>
      <c r="J206" s="112">
        <f>ROUND('2023.'!J206*1.025,0)</f>
        <v>27</v>
      </c>
      <c r="K206" s="112">
        <f t="shared" si="60"/>
        <v>27</v>
      </c>
      <c r="L206" s="110">
        <v>12</v>
      </c>
      <c r="M206" s="112">
        <f t="shared" si="42"/>
        <v>12</v>
      </c>
      <c r="N206" s="37">
        <f>'2023.'!N206*1.025</f>
        <v>2222.7862999999993</v>
      </c>
      <c r="O206" s="21">
        <f t="shared" si="63"/>
        <v>26673.43559999999</v>
      </c>
      <c r="P206" s="128">
        <f t="shared" si="64"/>
        <v>15</v>
      </c>
      <c r="Q206" s="128">
        <f t="shared" si="64"/>
        <v>15</v>
      </c>
    </row>
    <row r="207" spans="1:17" ht="52" x14ac:dyDescent="0.3">
      <c r="A207" s="16">
        <v>191</v>
      </c>
      <c r="B207" s="16">
        <v>7</v>
      </c>
      <c r="C207" s="29" t="s">
        <v>340</v>
      </c>
      <c r="D207" s="24" t="s">
        <v>10</v>
      </c>
      <c r="E207" s="24">
        <v>4</v>
      </c>
      <c r="F207" s="128">
        <f>'2023.'!P207</f>
        <v>20</v>
      </c>
      <c r="G207" s="128">
        <f>'2023.'!Q207</f>
        <v>20</v>
      </c>
      <c r="H207" s="128">
        <f t="shared" si="61"/>
        <v>2.75</v>
      </c>
      <c r="I207" s="128">
        <f t="shared" si="62"/>
        <v>2.75</v>
      </c>
      <c r="J207" s="112">
        <f>ROUND('2023.'!J207*1.025,0)</f>
        <v>33</v>
      </c>
      <c r="K207" s="112">
        <f t="shared" si="60"/>
        <v>33</v>
      </c>
      <c r="L207" s="110">
        <v>12</v>
      </c>
      <c r="M207" s="112">
        <f t="shared" si="42"/>
        <v>12</v>
      </c>
      <c r="N207" s="37">
        <f>'2023.'!N207*1.025</f>
        <v>2476.9534999999992</v>
      </c>
      <c r="O207" s="21">
        <f t="shared" si="63"/>
        <v>29723.441999999988</v>
      </c>
      <c r="P207" s="128">
        <f t="shared" si="64"/>
        <v>21</v>
      </c>
      <c r="Q207" s="128">
        <f t="shared" si="64"/>
        <v>21</v>
      </c>
    </row>
    <row r="208" spans="1:17" ht="42.65" customHeight="1" x14ac:dyDescent="0.3">
      <c r="A208" s="16">
        <v>192</v>
      </c>
      <c r="B208" s="16">
        <v>7</v>
      </c>
      <c r="C208" s="29" t="s">
        <v>342</v>
      </c>
      <c r="D208" s="24" t="s">
        <v>10</v>
      </c>
      <c r="E208" s="24">
        <v>4</v>
      </c>
      <c r="F208" s="128">
        <f>'2023.'!P208</f>
        <v>36</v>
      </c>
      <c r="G208" s="128">
        <f>'2023.'!Q208</f>
        <v>36</v>
      </c>
      <c r="H208" s="128">
        <f t="shared" si="61"/>
        <v>6.166666666666667</v>
      </c>
      <c r="I208" s="128">
        <f t="shared" si="62"/>
        <v>6.166666666666667</v>
      </c>
      <c r="J208" s="112">
        <f>ROUND('2023.'!J208*1.025,0)</f>
        <v>74</v>
      </c>
      <c r="K208" s="112">
        <f t="shared" si="60"/>
        <v>74</v>
      </c>
      <c r="L208" s="110">
        <v>38</v>
      </c>
      <c r="M208" s="112">
        <f t="shared" si="42"/>
        <v>38</v>
      </c>
      <c r="N208" s="37">
        <f>'2023.'!N208*1.025</f>
        <v>1682.6809999999998</v>
      </c>
      <c r="O208" s="21">
        <f t="shared" si="63"/>
        <v>63941.87799999999</v>
      </c>
      <c r="P208" s="128">
        <f t="shared" si="64"/>
        <v>36</v>
      </c>
      <c r="Q208" s="128">
        <f t="shared" si="64"/>
        <v>36</v>
      </c>
    </row>
    <row r="209" spans="1:17" ht="14.5" x14ac:dyDescent="0.3">
      <c r="A209" s="16">
        <v>193</v>
      </c>
      <c r="B209" s="16">
        <v>7</v>
      </c>
      <c r="C209" s="29" t="s">
        <v>344</v>
      </c>
      <c r="D209" s="24" t="s">
        <v>6</v>
      </c>
      <c r="E209" s="24">
        <v>4</v>
      </c>
      <c r="F209" s="128">
        <f>'2023.'!P209</f>
        <v>0</v>
      </c>
      <c r="G209" s="128">
        <f>'2023.'!Q209</f>
        <v>0</v>
      </c>
      <c r="H209" s="127">
        <f t="shared" si="61"/>
        <v>0.25</v>
      </c>
      <c r="I209" s="127">
        <f t="shared" si="62"/>
        <v>0.25</v>
      </c>
      <c r="J209" s="112">
        <f>ROUND('2023.'!J209*1.025,0)</f>
        <v>3</v>
      </c>
      <c r="K209" s="112">
        <f t="shared" si="60"/>
        <v>3</v>
      </c>
      <c r="L209" s="110">
        <v>3</v>
      </c>
      <c r="M209" s="112">
        <f t="shared" si="42"/>
        <v>3</v>
      </c>
      <c r="N209" s="37">
        <f>'2023.'!N209*1.025</f>
        <v>3864.2827999999995</v>
      </c>
      <c r="O209" s="21">
        <f t="shared" si="63"/>
        <v>11592.848399999999</v>
      </c>
      <c r="P209" s="128">
        <f t="shared" si="64"/>
        <v>0</v>
      </c>
      <c r="Q209" s="128">
        <f t="shared" si="64"/>
        <v>0</v>
      </c>
    </row>
    <row r="210" spans="1:17" ht="26" x14ac:dyDescent="0.3">
      <c r="A210" s="16">
        <v>194</v>
      </c>
      <c r="B210" s="16">
        <v>7</v>
      </c>
      <c r="C210" s="29" t="s">
        <v>346</v>
      </c>
      <c r="D210" s="24" t="s">
        <v>10</v>
      </c>
      <c r="E210" s="24">
        <v>3</v>
      </c>
      <c r="F210" s="128">
        <f>'2023.'!P210</f>
        <v>16</v>
      </c>
      <c r="G210" s="128">
        <f>'2023.'!Q210</f>
        <v>16</v>
      </c>
      <c r="H210" s="128">
        <f t="shared" si="61"/>
        <v>5.5</v>
      </c>
      <c r="I210" s="128">
        <f t="shared" si="62"/>
        <v>5.5</v>
      </c>
      <c r="J210" s="112">
        <f>ROUND('2023.'!J210*1.025,0)</f>
        <v>66</v>
      </c>
      <c r="K210" s="112">
        <f t="shared" si="60"/>
        <v>66</v>
      </c>
      <c r="L210" s="110">
        <v>48</v>
      </c>
      <c r="M210" s="112">
        <f t="shared" si="42"/>
        <v>48</v>
      </c>
      <c r="N210" s="37">
        <f>'2023.'!N210*1.025</f>
        <v>242.40019999999996</v>
      </c>
      <c r="O210" s="21">
        <f t="shared" si="63"/>
        <v>11635.209599999998</v>
      </c>
      <c r="P210" s="128">
        <f t="shared" si="64"/>
        <v>18</v>
      </c>
      <c r="Q210" s="128">
        <f t="shared" si="64"/>
        <v>18</v>
      </c>
    </row>
    <row r="211" spans="1:17" ht="33" customHeight="1" x14ac:dyDescent="0.3">
      <c r="A211" s="16">
        <v>195</v>
      </c>
      <c r="B211" s="16">
        <v>7</v>
      </c>
      <c r="C211" s="29" t="s">
        <v>348</v>
      </c>
      <c r="D211" s="24" t="s">
        <v>10</v>
      </c>
      <c r="E211" s="24">
        <v>2</v>
      </c>
      <c r="F211" s="128">
        <f>'2023.'!P211</f>
        <v>10</v>
      </c>
      <c r="G211" s="128">
        <f>'2023.'!Q211</f>
        <v>10</v>
      </c>
      <c r="H211" s="128">
        <f t="shared" si="61"/>
        <v>3.9166666666666665</v>
      </c>
      <c r="I211" s="128">
        <f t="shared" si="62"/>
        <v>3.9166666666666665</v>
      </c>
      <c r="J211" s="112">
        <f>ROUND('2023.'!J211*1.025,0)</f>
        <v>47</v>
      </c>
      <c r="K211" s="112">
        <f t="shared" si="60"/>
        <v>47</v>
      </c>
      <c r="L211" s="110">
        <v>36</v>
      </c>
      <c r="M211" s="112">
        <f t="shared" ref="M211:M245" si="65">ROUND(IF(F211=0,L211,L211*(G211/F211)),0)</f>
        <v>36</v>
      </c>
      <c r="N211" s="37">
        <f>'2023.'!N211*1.025</f>
        <v>847.22399999999982</v>
      </c>
      <c r="O211" s="21">
        <f t="shared" si="63"/>
        <v>30500.063999999995</v>
      </c>
      <c r="P211" s="128">
        <f t="shared" si="64"/>
        <v>11</v>
      </c>
      <c r="Q211" s="128">
        <f t="shared" si="64"/>
        <v>11</v>
      </c>
    </row>
    <row r="212" spans="1:17" ht="33" customHeight="1" x14ac:dyDescent="0.3">
      <c r="A212" s="16">
        <v>196</v>
      </c>
      <c r="B212" s="16">
        <v>7</v>
      </c>
      <c r="C212" s="29" t="s">
        <v>350</v>
      </c>
      <c r="D212" s="24" t="s">
        <v>10</v>
      </c>
      <c r="E212" s="24">
        <v>3</v>
      </c>
      <c r="F212" s="128">
        <f>'2023.'!P212</f>
        <v>0</v>
      </c>
      <c r="G212" s="128">
        <f>'2023.'!Q212</f>
        <v>0</v>
      </c>
      <c r="H212" s="128">
        <f t="shared" si="61"/>
        <v>0.5</v>
      </c>
      <c r="I212" s="128">
        <f t="shared" si="62"/>
        <v>0.5</v>
      </c>
      <c r="J212" s="112">
        <f>ROUND('2023.'!J212*1.025,0)</f>
        <v>6</v>
      </c>
      <c r="K212" s="112">
        <f t="shared" si="60"/>
        <v>6</v>
      </c>
      <c r="L212" s="110">
        <v>6</v>
      </c>
      <c r="M212" s="112">
        <f t="shared" si="65"/>
        <v>6</v>
      </c>
      <c r="N212" s="37">
        <f>'2023.'!N212*1.025</f>
        <v>3388.8959999999993</v>
      </c>
      <c r="O212" s="21">
        <f t="shared" si="63"/>
        <v>20333.375999999997</v>
      </c>
      <c r="P212" s="128">
        <f t="shared" si="64"/>
        <v>0</v>
      </c>
      <c r="Q212" s="128">
        <f t="shared" si="64"/>
        <v>0</v>
      </c>
    </row>
    <row r="213" spans="1:17" ht="41.4" customHeight="1" x14ac:dyDescent="0.3">
      <c r="A213" s="16">
        <v>197</v>
      </c>
      <c r="B213" s="16">
        <v>7</v>
      </c>
      <c r="C213" s="29" t="s">
        <v>352</v>
      </c>
      <c r="D213" s="24" t="s">
        <v>10</v>
      </c>
      <c r="E213" s="24">
        <v>3</v>
      </c>
      <c r="F213" s="128">
        <f>'2023.'!P213</f>
        <v>3</v>
      </c>
      <c r="G213" s="128">
        <f>'2023.'!Q213</f>
        <v>3</v>
      </c>
      <c r="H213" s="128">
        <f t="shared" si="61"/>
        <v>2.3333333333333335</v>
      </c>
      <c r="I213" s="128">
        <f t="shared" si="62"/>
        <v>2.3333333333333335</v>
      </c>
      <c r="J213" s="112">
        <f>ROUND('2023.'!J213*1.025,0)</f>
        <v>28</v>
      </c>
      <c r="K213" s="112">
        <f t="shared" si="60"/>
        <v>28</v>
      </c>
      <c r="L213" s="110">
        <v>24</v>
      </c>
      <c r="M213" s="112">
        <f t="shared" si="65"/>
        <v>24</v>
      </c>
      <c r="N213" s="37">
        <f>'2023.'!N213*1.025</f>
        <v>3523.0397999999996</v>
      </c>
      <c r="O213" s="21">
        <f t="shared" si="63"/>
        <v>84552.955199999997</v>
      </c>
      <c r="P213" s="128">
        <f t="shared" si="64"/>
        <v>4</v>
      </c>
      <c r="Q213" s="128">
        <f t="shared" si="64"/>
        <v>4</v>
      </c>
    </row>
    <row r="214" spans="1:17" ht="14.5" x14ac:dyDescent="0.3">
      <c r="A214" s="16">
        <v>198</v>
      </c>
      <c r="B214" s="16">
        <v>7</v>
      </c>
      <c r="C214" s="29" t="s">
        <v>354</v>
      </c>
      <c r="D214" s="24" t="s">
        <v>10</v>
      </c>
      <c r="E214" s="24">
        <v>6</v>
      </c>
      <c r="F214" s="128">
        <f>'2023.'!P214</f>
        <v>13</v>
      </c>
      <c r="G214" s="128">
        <f>'2023.'!Q214</f>
        <v>13</v>
      </c>
      <c r="H214" s="128">
        <f t="shared" si="61"/>
        <v>2.1666666666666665</v>
      </c>
      <c r="I214" s="128">
        <f t="shared" si="62"/>
        <v>2.1666666666666665</v>
      </c>
      <c r="J214" s="112">
        <f>ROUND('2023.'!J214*1.025,0)</f>
        <v>26</v>
      </c>
      <c r="K214" s="112">
        <f t="shared" si="60"/>
        <v>26</v>
      </c>
      <c r="L214" s="110">
        <v>12</v>
      </c>
      <c r="M214" s="112">
        <f t="shared" si="65"/>
        <v>12</v>
      </c>
      <c r="N214" s="37">
        <f>'2023.'!N214*1.025</f>
        <v>4702.0932000000003</v>
      </c>
      <c r="O214" s="21">
        <f t="shared" si="63"/>
        <v>56425.118400000007</v>
      </c>
      <c r="P214" s="128">
        <f t="shared" si="64"/>
        <v>14</v>
      </c>
      <c r="Q214" s="128">
        <f t="shared" si="64"/>
        <v>14</v>
      </c>
    </row>
    <row r="215" spans="1:17" ht="26" x14ac:dyDescent="0.3">
      <c r="A215" s="16">
        <v>199</v>
      </c>
      <c r="B215" s="16">
        <v>7</v>
      </c>
      <c r="C215" s="29" t="s">
        <v>356</v>
      </c>
      <c r="D215" s="24" t="s">
        <v>10</v>
      </c>
      <c r="E215" s="24">
        <v>3</v>
      </c>
      <c r="F215" s="128">
        <f>'2023.'!P215</f>
        <v>38</v>
      </c>
      <c r="G215" s="128">
        <f>'2023.'!Q215</f>
        <v>38</v>
      </c>
      <c r="H215" s="128">
        <f t="shared" si="61"/>
        <v>9.4166666666666661</v>
      </c>
      <c r="I215" s="128">
        <f t="shared" si="62"/>
        <v>9.4166666666666661</v>
      </c>
      <c r="J215" s="112">
        <f>ROUND('2023.'!J215*1.025,0)</f>
        <v>113</v>
      </c>
      <c r="K215" s="112">
        <f t="shared" si="60"/>
        <v>113</v>
      </c>
      <c r="L215" s="110">
        <v>72</v>
      </c>
      <c r="M215" s="112">
        <f t="shared" si="65"/>
        <v>72</v>
      </c>
      <c r="N215" s="37">
        <f>'2023.'!N215*1.025</f>
        <v>543.63539999999989</v>
      </c>
      <c r="O215" s="21">
        <f t="shared" si="63"/>
        <v>39141.748799999994</v>
      </c>
      <c r="P215" s="128">
        <f t="shared" si="64"/>
        <v>41</v>
      </c>
      <c r="Q215" s="128">
        <f t="shared" si="64"/>
        <v>41</v>
      </c>
    </row>
    <row r="216" spans="1:17" ht="14.5" x14ac:dyDescent="0.3">
      <c r="A216" s="16">
        <v>200</v>
      </c>
      <c r="B216" s="16">
        <v>7</v>
      </c>
      <c r="C216" s="29" t="s">
        <v>358</v>
      </c>
      <c r="D216" s="24" t="s">
        <v>10</v>
      </c>
      <c r="E216" s="24">
        <v>3</v>
      </c>
      <c r="F216" s="128">
        <f>'2023.'!P216</f>
        <v>95</v>
      </c>
      <c r="G216" s="128">
        <f>'2023.'!Q216</f>
        <v>95</v>
      </c>
      <c r="H216" s="128">
        <f t="shared" si="61"/>
        <v>27.75</v>
      </c>
      <c r="I216" s="128">
        <f t="shared" si="62"/>
        <v>27.75</v>
      </c>
      <c r="J216" s="112">
        <f>ROUND('2023.'!J216*1.025,0)</f>
        <v>333</v>
      </c>
      <c r="K216" s="112">
        <f t="shared" si="60"/>
        <v>333</v>
      </c>
      <c r="L216" s="110">
        <v>275</v>
      </c>
      <c r="M216" s="112">
        <f t="shared" si="65"/>
        <v>275</v>
      </c>
      <c r="N216" s="37">
        <f>'2023.'!N216*1.025</f>
        <v>156.22793749999994</v>
      </c>
      <c r="O216" s="21">
        <f t="shared" si="63"/>
        <v>42962.682812499981</v>
      </c>
      <c r="P216" s="128">
        <f t="shared" si="64"/>
        <v>58</v>
      </c>
      <c r="Q216" s="128">
        <f t="shared" si="64"/>
        <v>58</v>
      </c>
    </row>
    <row r="217" spans="1:17" ht="26" x14ac:dyDescent="0.3">
      <c r="A217" s="16">
        <v>201</v>
      </c>
      <c r="B217" s="16">
        <v>7</v>
      </c>
      <c r="C217" s="29" t="s">
        <v>359</v>
      </c>
      <c r="D217" s="24" t="s">
        <v>10</v>
      </c>
      <c r="E217" s="24">
        <v>4</v>
      </c>
      <c r="F217" s="128">
        <f>'2023.'!P217</f>
        <v>0</v>
      </c>
      <c r="G217" s="128">
        <f>'2023.'!Q217</f>
        <v>0</v>
      </c>
      <c r="H217" s="128">
        <f t="shared" si="61"/>
        <v>1</v>
      </c>
      <c r="I217" s="128">
        <f t="shared" si="62"/>
        <v>1</v>
      </c>
      <c r="J217" s="112">
        <f>ROUND('2023.'!J217*1.025,0)</f>
        <v>12</v>
      </c>
      <c r="K217" s="112">
        <f t="shared" si="60"/>
        <v>12</v>
      </c>
      <c r="L217" s="110">
        <v>12</v>
      </c>
      <c r="M217" s="112">
        <f t="shared" si="65"/>
        <v>12</v>
      </c>
      <c r="N217" s="37">
        <f>'2023.'!N217*1.025</f>
        <v>1047.2629999999999</v>
      </c>
      <c r="O217" s="21">
        <f t="shared" si="63"/>
        <v>12567.155999999999</v>
      </c>
      <c r="P217" s="128">
        <f t="shared" si="64"/>
        <v>0</v>
      </c>
      <c r="Q217" s="128">
        <f t="shared" si="64"/>
        <v>0</v>
      </c>
    </row>
    <row r="218" spans="1:17" ht="25.75" customHeight="1" x14ac:dyDescent="0.3">
      <c r="A218" s="16">
        <v>202</v>
      </c>
      <c r="B218" s="16">
        <v>7</v>
      </c>
      <c r="C218" s="29" t="s">
        <v>361</v>
      </c>
      <c r="D218" s="24" t="s">
        <v>10</v>
      </c>
      <c r="E218" s="24">
        <v>3</v>
      </c>
      <c r="F218" s="128">
        <f>'2023.'!P218</f>
        <v>5</v>
      </c>
      <c r="G218" s="128">
        <f>'2023.'!Q218</f>
        <v>5</v>
      </c>
      <c r="H218" s="128">
        <f t="shared" si="61"/>
        <v>2</v>
      </c>
      <c r="I218" s="128">
        <f t="shared" si="62"/>
        <v>2</v>
      </c>
      <c r="J218" s="112">
        <f>ROUND('2023.'!J218*1.025,0)</f>
        <v>24</v>
      </c>
      <c r="K218" s="112">
        <f t="shared" si="60"/>
        <v>24</v>
      </c>
      <c r="L218" s="110">
        <v>18</v>
      </c>
      <c r="M218" s="112">
        <f t="shared" si="65"/>
        <v>18</v>
      </c>
      <c r="N218" s="37">
        <f>'2023.'!N218*1.025</f>
        <v>2351.0466000000001</v>
      </c>
      <c r="O218" s="21">
        <f t="shared" si="63"/>
        <v>42318.838800000005</v>
      </c>
      <c r="P218" s="128">
        <f t="shared" si="64"/>
        <v>6</v>
      </c>
      <c r="Q218" s="128">
        <f t="shared" si="64"/>
        <v>6</v>
      </c>
    </row>
    <row r="219" spans="1:17" ht="14.5" x14ac:dyDescent="0.3">
      <c r="A219" s="16">
        <v>203</v>
      </c>
      <c r="B219" s="16">
        <v>7</v>
      </c>
      <c r="C219" s="29" t="s">
        <v>363</v>
      </c>
      <c r="D219" s="24" t="s">
        <v>10</v>
      </c>
      <c r="E219" s="24">
        <v>3</v>
      </c>
      <c r="F219" s="128">
        <f>'2023.'!P219</f>
        <v>28</v>
      </c>
      <c r="G219" s="128">
        <f>'2023.'!Q219</f>
        <v>28</v>
      </c>
      <c r="H219" s="128">
        <f t="shared" si="61"/>
        <v>2.6666666666666665</v>
      </c>
      <c r="I219" s="128">
        <f t="shared" si="62"/>
        <v>2.6666666666666665</v>
      </c>
      <c r="J219" s="112">
        <f>ROUND('2023.'!J219*1.025,0)</f>
        <v>32</v>
      </c>
      <c r="K219" s="112">
        <f t="shared" si="60"/>
        <v>32</v>
      </c>
      <c r="L219" s="110">
        <v>3</v>
      </c>
      <c r="M219" s="112">
        <f t="shared" si="65"/>
        <v>3</v>
      </c>
      <c r="N219" s="37">
        <f>'2023.'!N219*1.025</f>
        <v>960.18719999999985</v>
      </c>
      <c r="O219" s="21">
        <f t="shared" si="63"/>
        <v>2880.5615999999995</v>
      </c>
      <c r="P219" s="128">
        <f t="shared" si="64"/>
        <v>29</v>
      </c>
      <c r="Q219" s="128">
        <f t="shared" si="64"/>
        <v>29</v>
      </c>
    </row>
    <row r="220" spans="1:17" ht="27" customHeight="1" x14ac:dyDescent="0.3">
      <c r="A220" s="16">
        <v>204</v>
      </c>
      <c r="B220" s="16">
        <v>7</v>
      </c>
      <c r="C220" s="29" t="s">
        <v>365</v>
      </c>
      <c r="D220" s="24" t="s">
        <v>10</v>
      </c>
      <c r="E220" s="24">
        <v>6</v>
      </c>
      <c r="F220" s="128">
        <f>'2023.'!P220</f>
        <v>32</v>
      </c>
      <c r="G220" s="128">
        <f>'2023.'!Q220</f>
        <v>32</v>
      </c>
      <c r="H220" s="128">
        <f t="shared" si="61"/>
        <v>16</v>
      </c>
      <c r="I220" s="128">
        <f t="shared" si="62"/>
        <v>16</v>
      </c>
      <c r="J220" s="112">
        <f>ROUND('2023.'!J220*1.025,0)</f>
        <v>192</v>
      </c>
      <c r="K220" s="112">
        <f t="shared" si="60"/>
        <v>192</v>
      </c>
      <c r="L220" s="110">
        <v>155</v>
      </c>
      <c r="M220" s="112">
        <f t="shared" si="65"/>
        <v>155</v>
      </c>
      <c r="N220" s="37">
        <f>'2023.'!N220*1.025</f>
        <v>2223.9629999999997</v>
      </c>
      <c r="O220" s="21">
        <f t="shared" si="63"/>
        <v>344714.26499999996</v>
      </c>
      <c r="P220" s="128">
        <f t="shared" si="64"/>
        <v>37</v>
      </c>
      <c r="Q220" s="128">
        <f t="shared" si="64"/>
        <v>37</v>
      </c>
    </row>
    <row r="221" spans="1:17" ht="27" customHeight="1" x14ac:dyDescent="0.3">
      <c r="A221" s="16">
        <v>205</v>
      </c>
      <c r="B221" s="16">
        <v>7</v>
      </c>
      <c r="C221" s="29" t="s">
        <v>367</v>
      </c>
      <c r="D221" s="24" t="s">
        <v>10</v>
      </c>
      <c r="E221" s="24">
        <v>6</v>
      </c>
      <c r="F221" s="128">
        <f>'2023.'!P221</f>
        <v>23</v>
      </c>
      <c r="G221" s="128">
        <f>'2023.'!Q221</f>
        <v>23</v>
      </c>
      <c r="H221" s="128">
        <f t="shared" si="61"/>
        <v>15.083333333333334</v>
      </c>
      <c r="I221" s="128">
        <f t="shared" si="62"/>
        <v>15.083333333333334</v>
      </c>
      <c r="J221" s="112">
        <f>ROUND('2023.'!J221*1.025,0)</f>
        <v>181</v>
      </c>
      <c r="K221" s="112">
        <f t="shared" si="60"/>
        <v>181</v>
      </c>
      <c r="L221" s="110">
        <v>154</v>
      </c>
      <c r="M221" s="112">
        <f t="shared" si="65"/>
        <v>154</v>
      </c>
      <c r="N221" s="37">
        <f>'2023.'!N221*1.025</f>
        <v>2773.4818999999993</v>
      </c>
      <c r="O221" s="21">
        <f t="shared" si="63"/>
        <v>427116.21259999991</v>
      </c>
      <c r="P221" s="128">
        <f t="shared" si="64"/>
        <v>27</v>
      </c>
      <c r="Q221" s="128">
        <f t="shared" si="64"/>
        <v>27</v>
      </c>
    </row>
    <row r="222" spans="1:17" ht="14.5" x14ac:dyDescent="0.3">
      <c r="A222" s="16">
        <v>206</v>
      </c>
      <c r="B222" s="16">
        <v>7</v>
      </c>
      <c r="C222" s="26" t="s">
        <v>368</v>
      </c>
      <c r="D222" s="24" t="s">
        <v>6</v>
      </c>
      <c r="E222" s="24">
        <v>6</v>
      </c>
      <c r="F222" s="128">
        <f>'2023.'!P222</f>
        <v>0</v>
      </c>
      <c r="G222" s="128">
        <f>'2023.'!Q222</f>
        <v>0</v>
      </c>
      <c r="H222" s="128">
        <f t="shared" si="61"/>
        <v>1</v>
      </c>
      <c r="I222" s="128">
        <f t="shared" si="62"/>
        <v>1</v>
      </c>
      <c r="J222" s="112">
        <f>ROUND('2023.'!J222*1.025,0)</f>
        <v>12</v>
      </c>
      <c r="K222" s="112">
        <f t="shared" si="60"/>
        <v>12</v>
      </c>
      <c r="L222" s="110">
        <v>12</v>
      </c>
      <c r="M222" s="112">
        <f t="shared" si="65"/>
        <v>12</v>
      </c>
      <c r="N222" s="37">
        <f>'2023.'!N222*1.025</f>
        <v>2773.4818999999993</v>
      </c>
      <c r="O222" s="21">
        <f t="shared" si="63"/>
        <v>33281.782799999994</v>
      </c>
      <c r="P222" s="128">
        <f t="shared" si="64"/>
        <v>0</v>
      </c>
      <c r="Q222" s="128">
        <f t="shared" si="64"/>
        <v>0</v>
      </c>
    </row>
    <row r="223" spans="1:17" ht="14.5" x14ac:dyDescent="0.3">
      <c r="A223" s="16">
        <v>207</v>
      </c>
      <c r="B223" s="16">
        <v>7</v>
      </c>
      <c r="C223" s="26" t="s">
        <v>369</v>
      </c>
      <c r="D223" s="24" t="s">
        <v>6</v>
      </c>
      <c r="E223" s="24">
        <v>6</v>
      </c>
      <c r="F223" s="128">
        <f>'2023.'!P223</f>
        <v>0</v>
      </c>
      <c r="G223" s="128">
        <f>'2023.'!Q223</f>
        <v>0</v>
      </c>
      <c r="H223" s="128">
        <f t="shared" si="61"/>
        <v>1</v>
      </c>
      <c r="I223" s="128">
        <f t="shared" si="62"/>
        <v>1</v>
      </c>
      <c r="J223" s="112">
        <f>ROUND('2023.'!J223*1.025,0)</f>
        <v>12</v>
      </c>
      <c r="K223" s="112">
        <f t="shared" si="60"/>
        <v>12</v>
      </c>
      <c r="L223" s="110">
        <v>12</v>
      </c>
      <c r="M223" s="112">
        <f t="shared" si="65"/>
        <v>12</v>
      </c>
      <c r="N223" s="37">
        <f>'2023.'!N223*1.025</f>
        <v>2773.4818999999993</v>
      </c>
      <c r="O223" s="21">
        <f t="shared" si="63"/>
        <v>33281.782799999994</v>
      </c>
      <c r="P223" s="128">
        <f t="shared" si="64"/>
        <v>0</v>
      </c>
      <c r="Q223" s="128">
        <f t="shared" si="64"/>
        <v>0</v>
      </c>
    </row>
    <row r="224" spans="1:17" ht="14.5" x14ac:dyDescent="0.3">
      <c r="A224" s="16">
        <v>208</v>
      </c>
      <c r="B224" s="16">
        <v>7</v>
      </c>
      <c r="C224" s="29" t="s">
        <v>371</v>
      </c>
      <c r="D224" s="24" t="s">
        <v>6</v>
      </c>
      <c r="E224" s="24">
        <v>2</v>
      </c>
      <c r="F224" s="128">
        <f>'2023.'!P224</f>
        <v>19</v>
      </c>
      <c r="G224" s="128">
        <f>'2023.'!Q224</f>
        <v>19</v>
      </c>
      <c r="H224" s="128">
        <f t="shared" si="61"/>
        <v>6.75</v>
      </c>
      <c r="I224" s="128">
        <f t="shared" si="62"/>
        <v>6.75</v>
      </c>
      <c r="J224" s="112">
        <f>ROUND('2023.'!J224*1.025,0)</f>
        <v>81</v>
      </c>
      <c r="K224" s="112">
        <f t="shared" si="60"/>
        <v>81</v>
      </c>
      <c r="L224" s="110">
        <v>60</v>
      </c>
      <c r="M224" s="112">
        <f t="shared" si="65"/>
        <v>60</v>
      </c>
      <c r="N224" s="37">
        <f>'2023.'!N224*1.025</f>
        <v>64.876093749999995</v>
      </c>
      <c r="O224" s="21">
        <f t="shared" si="63"/>
        <v>3892.5656249999997</v>
      </c>
      <c r="P224" s="128">
        <f t="shared" si="64"/>
        <v>21</v>
      </c>
      <c r="Q224" s="128">
        <f t="shared" si="64"/>
        <v>21</v>
      </c>
    </row>
    <row r="225" spans="1:17" ht="14.5" x14ac:dyDescent="0.3">
      <c r="A225" s="16">
        <v>209</v>
      </c>
      <c r="B225" s="16">
        <v>7</v>
      </c>
      <c r="C225" s="29" t="s">
        <v>372</v>
      </c>
      <c r="D225" s="24" t="s">
        <v>10</v>
      </c>
      <c r="E225" s="24">
        <v>5</v>
      </c>
      <c r="F225" s="128">
        <f>'2023.'!P225</f>
        <v>0</v>
      </c>
      <c r="G225" s="128">
        <f>'2023.'!Q225</f>
        <v>0</v>
      </c>
      <c r="H225" s="128">
        <f t="shared" si="61"/>
        <v>1</v>
      </c>
      <c r="I225" s="128">
        <f t="shared" si="62"/>
        <v>1</v>
      </c>
      <c r="J225" s="112">
        <f>ROUND('2023.'!J225*1.025,0)</f>
        <v>12</v>
      </c>
      <c r="K225" s="112">
        <f t="shared" si="60"/>
        <v>12</v>
      </c>
      <c r="L225" s="110">
        <v>12</v>
      </c>
      <c r="M225" s="112">
        <f t="shared" si="65"/>
        <v>12</v>
      </c>
      <c r="N225" s="37">
        <f>'2023.'!N225*1.025</f>
        <v>1191.9235562499998</v>
      </c>
      <c r="O225" s="21">
        <f t="shared" si="63"/>
        <v>14303.082674999998</v>
      </c>
      <c r="P225" s="128">
        <f t="shared" si="64"/>
        <v>0</v>
      </c>
      <c r="Q225" s="128">
        <f t="shared" si="64"/>
        <v>0</v>
      </c>
    </row>
    <row r="226" spans="1:17" s="15" customFormat="1" ht="15" customHeight="1" x14ac:dyDescent="0.3">
      <c r="A226" s="254" t="s">
        <v>373</v>
      </c>
      <c r="B226" s="254"/>
      <c r="C226" s="254"/>
      <c r="D226" s="254"/>
      <c r="E226" s="254"/>
      <c r="F226" s="12">
        <f>'2023.'!P226</f>
        <v>115</v>
      </c>
      <c r="G226" s="12">
        <f>'2023.'!Q226</f>
        <v>115</v>
      </c>
      <c r="H226" s="12">
        <f t="shared" si="61"/>
        <v>22.166666666666668</v>
      </c>
      <c r="I226" s="12">
        <f t="shared" si="62"/>
        <v>22.166666666666668</v>
      </c>
      <c r="J226" s="12">
        <f t="shared" ref="J226:Q226" si="66">SUM(J227:J228)</f>
        <v>266</v>
      </c>
      <c r="K226" s="12">
        <f t="shared" si="66"/>
        <v>266</v>
      </c>
      <c r="L226" s="12">
        <f t="shared" si="66"/>
        <v>198</v>
      </c>
      <c r="M226" s="12">
        <f t="shared" ref="M226" si="67">SUM(M227:M228)</f>
        <v>198</v>
      </c>
      <c r="N226" s="13" t="s">
        <v>426</v>
      </c>
      <c r="O226" s="14">
        <f t="shared" si="66"/>
        <v>4833.0220874999995</v>
      </c>
      <c r="P226" s="12">
        <f t="shared" si="66"/>
        <v>68</v>
      </c>
      <c r="Q226" s="12">
        <f t="shared" si="66"/>
        <v>68</v>
      </c>
    </row>
    <row r="227" spans="1:17" ht="14.5" x14ac:dyDescent="0.3">
      <c r="A227" s="16">
        <v>210</v>
      </c>
      <c r="B227" s="16">
        <v>8</v>
      </c>
      <c r="C227" s="19" t="s">
        <v>375</v>
      </c>
      <c r="D227" s="20" t="s">
        <v>6</v>
      </c>
      <c r="E227" s="20">
        <v>5</v>
      </c>
      <c r="F227" s="128">
        <f>'2023.'!P227</f>
        <v>15</v>
      </c>
      <c r="G227" s="128">
        <f>'2023.'!Q227</f>
        <v>15</v>
      </c>
      <c r="H227" s="128">
        <f t="shared" si="61"/>
        <v>5.416666666666667</v>
      </c>
      <c r="I227" s="128">
        <f t="shared" si="62"/>
        <v>5.416666666666667</v>
      </c>
      <c r="J227" s="112">
        <f>ROUND('2023.'!J227*1.025,0)</f>
        <v>65</v>
      </c>
      <c r="K227" s="112">
        <f t="shared" ref="K227" si="68">ROUND(IF(F227=0,J227,J227*(G227/F227)),0)</f>
        <v>65</v>
      </c>
      <c r="L227" s="110">
        <v>48</v>
      </c>
      <c r="M227" s="112">
        <f t="shared" si="65"/>
        <v>48</v>
      </c>
      <c r="N227" s="37">
        <f>'2023.'!N227*1.025</f>
        <v>60.600049999999989</v>
      </c>
      <c r="O227" s="21">
        <f t="shared" si="63"/>
        <v>2908.8023999999996</v>
      </c>
      <c r="P227" s="128">
        <f t="shared" si="64"/>
        <v>17</v>
      </c>
      <c r="Q227" s="128">
        <f t="shared" si="64"/>
        <v>17</v>
      </c>
    </row>
    <row r="228" spans="1:17" ht="14.5" x14ac:dyDescent="0.3">
      <c r="A228" s="16">
        <v>211</v>
      </c>
      <c r="B228" s="16">
        <v>8</v>
      </c>
      <c r="C228" s="19" t="s">
        <v>377</v>
      </c>
      <c r="D228" s="20" t="s">
        <v>6</v>
      </c>
      <c r="E228" s="20">
        <v>5</v>
      </c>
      <c r="F228" s="128">
        <f>'2023.'!P228</f>
        <v>100</v>
      </c>
      <c r="G228" s="128">
        <f>'2023.'!Q228</f>
        <v>100</v>
      </c>
      <c r="H228" s="128">
        <f t="shared" si="61"/>
        <v>16.75</v>
      </c>
      <c r="I228" s="128">
        <f t="shared" si="62"/>
        <v>16.75</v>
      </c>
      <c r="J228" s="112">
        <f>ROUND('2023.'!J228*1.025,0)</f>
        <v>201</v>
      </c>
      <c r="K228" s="112">
        <f t="shared" ref="K228" si="69">ROUND(IF(F228=0,J228,J228*(G228/F228)),0)</f>
        <v>201</v>
      </c>
      <c r="L228" s="110">
        <v>150</v>
      </c>
      <c r="M228" s="112">
        <f t="shared" si="65"/>
        <v>150</v>
      </c>
      <c r="N228" s="37">
        <f>'2023.'!N228*1.025</f>
        <v>12.828131249999998</v>
      </c>
      <c r="O228" s="21">
        <f t="shared" si="63"/>
        <v>1924.2196874999997</v>
      </c>
      <c r="P228" s="128">
        <f t="shared" si="64"/>
        <v>51</v>
      </c>
      <c r="Q228" s="128">
        <f t="shared" si="64"/>
        <v>51</v>
      </c>
    </row>
    <row r="229" spans="1:17" s="15" customFormat="1" ht="15" customHeight="1" x14ac:dyDescent="0.3">
      <c r="A229" s="254" t="s">
        <v>378</v>
      </c>
      <c r="B229" s="254"/>
      <c r="C229" s="254"/>
      <c r="D229" s="254"/>
      <c r="E229" s="254"/>
      <c r="F229" s="12">
        <f>'2023.'!P229</f>
        <v>73</v>
      </c>
      <c r="G229" s="12">
        <f>'2023.'!Q229</f>
        <v>101</v>
      </c>
      <c r="H229" s="12">
        <f t="shared" si="61"/>
        <v>50.333333333333336</v>
      </c>
      <c r="I229" s="12">
        <f t="shared" si="62"/>
        <v>64</v>
      </c>
      <c r="J229" s="12">
        <f t="shared" ref="J229:Q229" si="70">SUM(J230:J233)</f>
        <v>604</v>
      </c>
      <c r="K229" s="12">
        <f t="shared" si="70"/>
        <v>768</v>
      </c>
      <c r="L229" s="12">
        <f t="shared" si="70"/>
        <v>516</v>
      </c>
      <c r="M229" s="12">
        <f t="shared" ref="M229" si="71">SUM(M230:M233)</f>
        <v>648</v>
      </c>
      <c r="N229" s="13" t="s">
        <v>426</v>
      </c>
      <c r="O229" s="14">
        <f t="shared" si="70"/>
        <v>324113.61</v>
      </c>
      <c r="P229" s="12">
        <f t="shared" si="70"/>
        <v>88</v>
      </c>
      <c r="Q229" s="12">
        <f t="shared" si="70"/>
        <v>120</v>
      </c>
    </row>
    <row r="230" spans="1:17" ht="14.4" customHeight="1" x14ac:dyDescent="0.3">
      <c r="A230" s="16">
        <v>212</v>
      </c>
      <c r="B230" s="16">
        <v>9</v>
      </c>
      <c r="C230" s="29" t="s">
        <v>379</v>
      </c>
      <c r="D230" s="24" t="s">
        <v>10</v>
      </c>
      <c r="E230" s="24">
        <v>3</v>
      </c>
      <c r="F230" s="128">
        <f>'2023.'!P230</f>
        <v>5</v>
      </c>
      <c r="G230" s="128">
        <f>'2023.'!Q230</f>
        <v>5</v>
      </c>
      <c r="H230" s="128">
        <f t="shared" si="61"/>
        <v>15.833333333333334</v>
      </c>
      <c r="I230" s="128">
        <f t="shared" si="62"/>
        <v>15.833333333333334</v>
      </c>
      <c r="J230" s="112">
        <f>ROUND('2023.'!J230*1.025,0)</f>
        <v>190</v>
      </c>
      <c r="K230" s="112">
        <f t="shared" ref="K230:K231" si="72">ROUND(IF(F230=0,J230,J230*(G230/F230)),0)</f>
        <v>190</v>
      </c>
      <c r="L230" s="110">
        <v>180</v>
      </c>
      <c r="M230" s="112">
        <f t="shared" si="65"/>
        <v>180</v>
      </c>
      <c r="N230" s="37">
        <f>'2023.'!N230*1.025</f>
        <v>147.08749999999998</v>
      </c>
      <c r="O230" s="21">
        <f t="shared" si="63"/>
        <v>26475.749999999996</v>
      </c>
      <c r="P230" s="128">
        <f t="shared" si="64"/>
        <v>10</v>
      </c>
      <c r="Q230" s="128">
        <f t="shared" si="64"/>
        <v>10</v>
      </c>
    </row>
    <row r="231" spans="1:17" ht="30" customHeight="1" x14ac:dyDescent="0.3">
      <c r="A231" s="16">
        <v>213</v>
      </c>
      <c r="B231" s="16">
        <v>9</v>
      </c>
      <c r="C231" s="29" t="s">
        <v>380</v>
      </c>
      <c r="D231" s="24" t="s">
        <v>6</v>
      </c>
      <c r="E231" s="24">
        <v>2</v>
      </c>
      <c r="F231" s="128">
        <f>'2023.'!P231</f>
        <v>1</v>
      </c>
      <c r="G231" s="128">
        <f>'2023.'!Q231</f>
        <v>1</v>
      </c>
      <c r="H231" s="128">
        <f t="shared" si="61"/>
        <v>2.1666666666666665</v>
      </c>
      <c r="I231" s="128">
        <f t="shared" si="62"/>
        <v>2.1666666666666665</v>
      </c>
      <c r="J231" s="112">
        <f>ROUND('2023.'!J231*1.025,0)</f>
        <v>26</v>
      </c>
      <c r="K231" s="112">
        <f t="shared" si="72"/>
        <v>26</v>
      </c>
      <c r="L231" s="110">
        <v>24</v>
      </c>
      <c r="M231" s="112">
        <f t="shared" si="65"/>
        <v>24</v>
      </c>
      <c r="N231" s="37">
        <f>'2023.'!N231*1.025</f>
        <v>4517.6875</v>
      </c>
      <c r="O231" s="21">
        <f t="shared" si="63"/>
        <v>108424.5</v>
      </c>
      <c r="P231" s="128">
        <f t="shared" si="64"/>
        <v>2</v>
      </c>
      <c r="Q231" s="128">
        <f t="shared" si="64"/>
        <v>2</v>
      </c>
    </row>
    <row r="232" spans="1:17" ht="14.5" x14ac:dyDescent="0.3">
      <c r="A232" s="16">
        <v>214</v>
      </c>
      <c r="B232" s="16">
        <v>9</v>
      </c>
      <c r="C232" s="29" t="s">
        <v>381</v>
      </c>
      <c r="D232" s="24" t="s">
        <v>10</v>
      </c>
      <c r="E232" s="24">
        <v>10</v>
      </c>
      <c r="F232" s="128">
        <f>'2023.'!P232</f>
        <v>39</v>
      </c>
      <c r="G232" s="128">
        <f>'2023.'!Q232</f>
        <v>39</v>
      </c>
      <c r="H232" s="128">
        <f t="shared" si="61"/>
        <v>18.666666666666668</v>
      </c>
      <c r="I232" s="128">
        <f t="shared" si="62"/>
        <v>18.666666666666668</v>
      </c>
      <c r="J232" s="112">
        <f>ROUND('2023.'!J232*1.025,0)</f>
        <v>224</v>
      </c>
      <c r="K232" s="112">
        <f t="shared" ref="K232:K233" si="73">ROUND(IF(F232=0,J232,J232*(G232/F232)),0)</f>
        <v>224</v>
      </c>
      <c r="L232" s="110">
        <v>180</v>
      </c>
      <c r="M232" s="112">
        <f t="shared" si="65"/>
        <v>180</v>
      </c>
      <c r="N232" s="37">
        <f>'2023.'!N232*1.025</f>
        <v>835.45699999999988</v>
      </c>
      <c r="O232" s="21">
        <f t="shared" si="63"/>
        <v>150382.25999999998</v>
      </c>
      <c r="P232" s="128">
        <f t="shared" si="64"/>
        <v>44</v>
      </c>
      <c r="Q232" s="128">
        <f t="shared" si="64"/>
        <v>44</v>
      </c>
    </row>
    <row r="233" spans="1:17" ht="16.25" customHeight="1" x14ac:dyDescent="0.3">
      <c r="A233" s="16">
        <v>215</v>
      </c>
      <c r="B233" s="16">
        <v>9</v>
      </c>
      <c r="C233" s="29" t="s">
        <v>383</v>
      </c>
      <c r="D233" s="24" t="s">
        <v>6</v>
      </c>
      <c r="E233" s="24">
        <v>5</v>
      </c>
      <c r="F233" s="128">
        <f>'2023.'!P233</f>
        <v>28</v>
      </c>
      <c r="G233" s="128">
        <f>'2023.'!Q233</f>
        <v>56</v>
      </c>
      <c r="H233" s="128">
        <f t="shared" si="61"/>
        <v>13.666666666666666</v>
      </c>
      <c r="I233" s="128">
        <f t="shared" si="62"/>
        <v>27.333333333333332</v>
      </c>
      <c r="J233" s="112">
        <f>ROUND('2023.'!J233*1.025,0)</f>
        <v>164</v>
      </c>
      <c r="K233" s="112">
        <f t="shared" si="73"/>
        <v>328</v>
      </c>
      <c r="L233" s="110">
        <v>132</v>
      </c>
      <c r="M233" s="112">
        <f t="shared" si="65"/>
        <v>264</v>
      </c>
      <c r="N233" s="37">
        <f>'2023.'!N233*1.025</f>
        <v>147.08749999999998</v>
      </c>
      <c r="O233" s="21">
        <f t="shared" si="63"/>
        <v>38831.099999999991</v>
      </c>
      <c r="P233" s="128">
        <f t="shared" si="64"/>
        <v>32</v>
      </c>
      <c r="Q233" s="128">
        <f t="shared" si="64"/>
        <v>64</v>
      </c>
    </row>
    <row r="234" spans="1:17" s="15" customFormat="1" ht="15" customHeight="1" x14ac:dyDescent="0.3">
      <c r="A234" s="254" t="s">
        <v>384</v>
      </c>
      <c r="B234" s="254"/>
      <c r="C234" s="254"/>
      <c r="D234" s="254"/>
      <c r="E234" s="254"/>
      <c r="F234" s="12">
        <f>'2023.'!P234</f>
        <v>5</v>
      </c>
      <c r="G234" s="12">
        <f>'2023.'!Q234</f>
        <v>5</v>
      </c>
      <c r="H234" s="12">
        <f t="shared" si="61"/>
        <v>3.4166666666666665</v>
      </c>
      <c r="I234" s="12">
        <f t="shared" si="62"/>
        <v>3.4166666666666665</v>
      </c>
      <c r="J234" s="12">
        <f t="shared" ref="J234:Q234" si="74">SUM(J235:J243)</f>
        <v>41</v>
      </c>
      <c r="K234" s="12">
        <f t="shared" si="74"/>
        <v>41</v>
      </c>
      <c r="L234" s="12">
        <f t="shared" si="74"/>
        <v>36</v>
      </c>
      <c r="M234" s="12">
        <f t="shared" ref="M234" si="75">SUM(M235:M243)</f>
        <v>36</v>
      </c>
      <c r="N234" s="13" t="s">
        <v>426</v>
      </c>
      <c r="O234" s="14">
        <f t="shared" si="74"/>
        <v>30025.990481249995</v>
      </c>
      <c r="P234" s="12">
        <f t="shared" si="74"/>
        <v>5</v>
      </c>
      <c r="Q234" s="12">
        <f t="shared" si="74"/>
        <v>5</v>
      </c>
    </row>
    <row r="235" spans="1:17" ht="14.5" x14ac:dyDescent="0.3">
      <c r="A235" s="16">
        <v>216</v>
      </c>
      <c r="B235" s="16">
        <v>10</v>
      </c>
      <c r="C235" s="29" t="s">
        <v>386</v>
      </c>
      <c r="D235" s="24" t="s">
        <v>10</v>
      </c>
      <c r="E235" s="24">
        <v>3</v>
      </c>
      <c r="F235" s="128">
        <f>'2023.'!P235</f>
        <v>2</v>
      </c>
      <c r="G235" s="128">
        <f>'2023.'!Q235</f>
        <v>2</v>
      </c>
      <c r="H235" s="127">
        <f t="shared" si="61"/>
        <v>0.41666666666666669</v>
      </c>
      <c r="I235" s="127">
        <f t="shared" si="62"/>
        <v>0.41666666666666669</v>
      </c>
      <c r="J235" s="112">
        <f>ROUND('2023.'!J235*1.025,0)</f>
        <v>5</v>
      </c>
      <c r="K235" s="112">
        <f t="shared" ref="K235:K238" si="76">ROUND(IF(F235=0,J235,J235*(G235/F235)),0)</f>
        <v>5</v>
      </c>
      <c r="L235" s="110">
        <v>3</v>
      </c>
      <c r="M235" s="112">
        <f t="shared" si="65"/>
        <v>3</v>
      </c>
      <c r="N235" s="37">
        <f>'2023.'!N235*1.025</f>
        <v>276.52449999999993</v>
      </c>
      <c r="O235" s="21">
        <f t="shared" si="63"/>
        <v>829.57349999999974</v>
      </c>
      <c r="P235" s="128">
        <f t="shared" si="64"/>
        <v>2</v>
      </c>
      <c r="Q235" s="128">
        <f t="shared" si="64"/>
        <v>2</v>
      </c>
    </row>
    <row r="236" spans="1:17" ht="14.5" x14ac:dyDescent="0.3">
      <c r="A236" s="16">
        <v>217</v>
      </c>
      <c r="B236" s="16">
        <v>10</v>
      </c>
      <c r="C236" s="29" t="s">
        <v>388</v>
      </c>
      <c r="D236" s="24" t="s">
        <v>6</v>
      </c>
      <c r="E236" s="24">
        <v>3</v>
      </c>
      <c r="F236" s="128">
        <f>'2023.'!P236</f>
        <v>1</v>
      </c>
      <c r="G236" s="128">
        <f>'2023.'!Q236</f>
        <v>1</v>
      </c>
      <c r="H236" s="128">
        <f t="shared" si="61"/>
        <v>0.58333333333333337</v>
      </c>
      <c r="I236" s="128">
        <f t="shared" si="62"/>
        <v>0.58333333333333337</v>
      </c>
      <c r="J236" s="112">
        <f>ROUND('2023.'!J236*1.025,0)</f>
        <v>7</v>
      </c>
      <c r="K236" s="112">
        <f t="shared" si="76"/>
        <v>7</v>
      </c>
      <c r="L236" s="110">
        <v>6</v>
      </c>
      <c r="M236" s="112">
        <f t="shared" si="65"/>
        <v>6</v>
      </c>
      <c r="N236" s="37">
        <f>'2023.'!N236*1.025</f>
        <v>459.50134999999995</v>
      </c>
      <c r="O236" s="21">
        <f t="shared" si="63"/>
        <v>2757.0080999999996</v>
      </c>
      <c r="P236" s="128">
        <f t="shared" si="64"/>
        <v>1</v>
      </c>
      <c r="Q236" s="128">
        <f t="shared" si="64"/>
        <v>1</v>
      </c>
    </row>
    <row r="237" spans="1:17" ht="14.5" x14ac:dyDescent="0.3">
      <c r="A237" s="16">
        <v>218</v>
      </c>
      <c r="B237" s="16">
        <v>10</v>
      </c>
      <c r="C237" s="29" t="s">
        <v>390</v>
      </c>
      <c r="D237" s="24" t="s">
        <v>10</v>
      </c>
      <c r="E237" s="24">
        <v>3</v>
      </c>
      <c r="F237" s="128">
        <f>'2023.'!P237</f>
        <v>2</v>
      </c>
      <c r="G237" s="128">
        <f>'2023.'!Q237</f>
        <v>2</v>
      </c>
      <c r="H237" s="128">
        <f t="shared" si="61"/>
        <v>0.91666666666666663</v>
      </c>
      <c r="I237" s="128">
        <f t="shared" si="62"/>
        <v>0.91666666666666663</v>
      </c>
      <c r="J237" s="112">
        <f>ROUND('2023.'!J237*1.025,0)</f>
        <v>11</v>
      </c>
      <c r="K237" s="112">
        <f t="shared" si="76"/>
        <v>11</v>
      </c>
      <c r="L237" s="110">
        <v>9</v>
      </c>
      <c r="M237" s="112">
        <f t="shared" si="65"/>
        <v>9</v>
      </c>
      <c r="N237" s="37">
        <f>'2023.'!N237*1.025</f>
        <v>320.39859999999993</v>
      </c>
      <c r="O237" s="21">
        <f t="shared" si="63"/>
        <v>2883.5873999999994</v>
      </c>
      <c r="P237" s="128">
        <f t="shared" si="64"/>
        <v>2</v>
      </c>
      <c r="Q237" s="128">
        <f t="shared" si="64"/>
        <v>2</v>
      </c>
    </row>
    <row r="238" spans="1:17" ht="14.5" x14ac:dyDescent="0.3">
      <c r="A238" s="16">
        <v>219</v>
      </c>
      <c r="B238" s="16">
        <v>10</v>
      </c>
      <c r="C238" s="29" t="s">
        <v>392</v>
      </c>
      <c r="D238" s="24" t="s">
        <v>6</v>
      </c>
      <c r="E238" s="24">
        <v>3</v>
      </c>
      <c r="F238" s="128">
        <f>'2023.'!P238</f>
        <v>0</v>
      </c>
      <c r="G238" s="128">
        <f>'2023.'!Q238</f>
        <v>0</v>
      </c>
      <c r="H238" s="127">
        <f t="shared" si="61"/>
        <v>0.25</v>
      </c>
      <c r="I238" s="127">
        <f t="shared" si="62"/>
        <v>0.25</v>
      </c>
      <c r="J238" s="112">
        <f>ROUND('2023.'!J238*1.025,0)</f>
        <v>3</v>
      </c>
      <c r="K238" s="112">
        <f t="shared" si="76"/>
        <v>3</v>
      </c>
      <c r="L238" s="110">
        <v>3</v>
      </c>
      <c r="M238" s="112">
        <f t="shared" si="65"/>
        <v>3</v>
      </c>
      <c r="N238" s="37">
        <f>'2023.'!N238*1.025</f>
        <v>1396.7428999999997</v>
      </c>
      <c r="O238" s="21">
        <f t="shared" si="63"/>
        <v>4190.2286999999997</v>
      </c>
      <c r="P238" s="128">
        <f t="shared" si="64"/>
        <v>0</v>
      </c>
      <c r="Q238" s="128">
        <f t="shared" si="64"/>
        <v>0</v>
      </c>
    </row>
    <row r="239" spans="1:17" ht="14.5" x14ac:dyDescent="0.3">
      <c r="A239" s="16">
        <v>220</v>
      </c>
      <c r="B239" s="16">
        <v>10</v>
      </c>
      <c r="C239" s="29" t="s">
        <v>394</v>
      </c>
      <c r="D239" s="24" t="s">
        <v>10</v>
      </c>
      <c r="E239" s="24">
        <v>3</v>
      </c>
      <c r="F239" s="128">
        <f>'2023.'!P239</f>
        <v>0</v>
      </c>
      <c r="G239" s="128">
        <f>'2023.'!Q239</f>
        <v>0</v>
      </c>
      <c r="H239" s="127">
        <f t="shared" si="61"/>
        <v>0.25</v>
      </c>
      <c r="I239" s="127">
        <f t="shared" si="62"/>
        <v>0.25</v>
      </c>
      <c r="J239" s="112">
        <f>ROUND('2023.'!J239*1.025,0)</f>
        <v>3</v>
      </c>
      <c r="K239" s="112">
        <f t="shared" ref="K239:K243" si="77">ROUND(IF(F239=0,J239,J239*(G239/F239)),0)</f>
        <v>3</v>
      </c>
      <c r="L239" s="110">
        <v>3</v>
      </c>
      <c r="M239" s="112">
        <f t="shared" si="65"/>
        <v>3</v>
      </c>
      <c r="N239" s="37">
        <f>'2023.'!N239*1.025</f>
        <v>3160.6161999999995</v>
      </c>
      <c r="O239" s="21">
        <f t="shared" si="63"/>
        <v>9481.8485999999975</v>
      </c>
      <c r="P239" s="128">
        <f t="shared" si="64"/>
        <v>0</v>
      </c>
      <c r="Q239" s="128">
        <f t="shared" si="64"/>
        <v>0</v>
      </c>
    </row>
    <row r="240" spans="1:17" ht="14.5" x14ac:dyDescent="0.3">
      <c r="A240" s="16">
        <v>221</v>
      </c>
      <c r="B240" s="16">
        <v>10</v>
      </c>
      <c r="C240" s="29" t="s">
        <v>396</v>
      </c>
      <c r="D240" s="24" t="s">
        <v>6</v>
      </c>
      <c r="E240" s="24">
        <v>3</v>
      </c>
      <c r="F240" s="128">
        <f>'2023.'!P240</f>
        <v>0</v>
      </c>
      <c r="G240" s="128">
        <f>'2023.'!Q240</f>
        <v>0</v>
      </c>
      <c r="H240" s="127">
        <f t="shared" si="61"/>
        <v>0.25</v>
      </c>
      <c r="I240" s="127">
        <f t="shared" si="62"/>
        <v>0.25</v>
      </c>
      <c r="J240" s="112">
        <f>ROUND('2023.'!J240*1.025,0)</f>
        <v>3</v>
      </c>
      <c r="K240" s="112">
        <f t="shared" si="77"/>
        <v>3</v>
      </c>
      <c r="L240" s="110">
        <v>3</v>
      </c>
      <c r="M240" s="112">
        <f t="shared" si="65"/>
        <v>3</v>
      </c>
      <c r="N240" s="37">
        <f>'2023.'!N240*1.025</f>
        <v>832.92499374999977</v>
      </c>
      <c r="O240" s="21">
        <f t="shared" si="63"/>
        <v>2498.7749812499992</v>
      </c>
      <c r="P240" s="128">
        <f t="shared" si="64"/>
        <v>0</v>
      </c>
      <c r="Q240" s="128">
        <f t="shared" si="64"/>
        <v>0</v>
      </c>
    </row>
    <row r="241" spans="1:17" ht="26" x14ac:dyDescent="0.3">
      <c r="A241" s="16">
        <v>222</v>
      </c>
      <c r="B241" s="16">
        <v>10</v>
      </c>
      <c r="C241" s="29" t="s">
        <v>406</v>
      </c>
      <c r="D241" s="24" t="s">
        <v>10</v>
      </c>
      <c r="E241" s="24">
        <v>3</v>
      </c>
      <c r="F241" s="128">
        <f>'2023.'!P241</f>
        <v>0</v>
      </c>
      <c r="G241" s="128">
        <f>'2023.'!Q241</f>
        <v>0</v>
      </c>
      <c r="H241" s="127">
        <f t="shared" si="61"/>
        <v>0.25</v>
      </c>
      <c r="I241" s="127">
        <f t="shared" si="62"/>
        <v>0.25</v>
      </c>
      <c r="J241" s="112">
        <f>ROUND('2023.'!J241*1.025,0)</f>
        <v>3</v>
      </c>
      <c r="K241" s="112">
        <f t="shared" si="77"/>
        <v>3</v>
      </c>
      <c r="L241" s="110">
        <v>3</v>
      </c>
      <c r="M241" s="112">
        <f t="shared" si="65"/>
        <v>3</v>
      </c>
      <c r="N241" s="37">
        <f>'2023.'!N241*1.025</f>
        <v>1576.7779999999996</v>
      </c>
      <c r="O241" s="21">
        <f t="shared" si="63"/>
        <v>4730.3339999999989</v>
      </c>
      <c r="P241" s="128">
        <f t="shared" si="64"/>
        <v>0</v>
      </c>
      <c r="Q241" s="128">
        <f t="shared" si="64"/>
        <v>0</v>
      </c>
    </row>
    <row r="242" spans="1:17" ht="14.5" x14ac:dyDescent="0.3">
      <c r="A242" s="16">
        <v>223</v>
      </c>
      <c r="B242" s="16">
        <v>10</v>
      </c>
      <c r="C242" s="29" t="s">
        <v>407</v>
      </c>
      <c r="D242" s="24" t="s">
        <v>6</v>
      </c>
      <c r="E242" s="24">
        <v>3</v>
      </c>
      <c r="F242" s="128">
        <f>'2023.'!P242</f>
        <v>0</v>
      </c>
      <c r="G242" s="128">
        <f>'2023.'!Q242</f>
        <v>0</v>
      </c>
      <c r="H242" s="127">
        <f t="shared" si="61"/>
        <v>0.25</v>
      </c>
      <c r="I242" s="127">
        <f t="shared" si="62"/>
        <v>0.25</v>
      </c>
      <c r="J242" s="112">
        <f>ROUND('2023.'!J242*1.025,0)</f>
        <v>3</v>
      </c>
      <c r="K242" s="112">
        <f t="shared" si="77"/>
        <v>3</v>
      </c>
      <c r="L242" s="110">
        <v>3</v>
      </c>
      <c r="M242" s="112">
        <f t="shared" si="65"/>
        <v>3</v>
      </c>
      <c r="N242" s="37">
        <f>'2023.'!N242*1.025</f>
        <v>811.92299999999977</v>
      </c>
      <c r="O242" s="21">
        <f t="shared" si="63"/>
        <v>2435.7689999999993</v>
      </c>
      <c r="P242" s="128">
        <f t="shared" si="64"/>
        <v>0</v>
      </c>
      <c r="Q242" s="128">
        <f t="shared" si="64"/>
        <v>0</v>
      </c>
    </row>
    <row r="243" spans="1:17" ht="14.5" x14ac:dyDescent="0.3">
      <c r="A243" s="16">
        <v>224</v>
      </c>
      <c r="B243" s="16">
        <v>10</v>
      </c>
      <c r="C243" s="29" t="s">
        <v>398</v>
      </c>
      <c r="D243" s="24" t="s">
        <v>6</v>
      </c>
      <c r="E243" s="24">
        <v>3</v>
      </c>
      <c r="F243" s="128">
        <f>'2023.'!P243</f>
        <v>0</v>
      </c>
      <c r="G243" s="128">
        <f>'2023.'!Q243</f>
        <v>0</v>
      </c>
      <c r="H243" s="127">
        <f t="shared" si="61"/>
        <v>0.25</v>
      </c>
      <c r="I243" s="127">
        <f t="shared" si="62"/>
        <v>0.25</v>
      </c>
      <c r="J243" s="112">
        <f>ROUND('2023.'!J243*1.025,0)</f>
        <v>3</v>
      </c>
      <c r="K243" s="112">
        <f t="shared" si="77"/>
        <v>3</v>
      </c>
      <c r="L243" s="110">
        <v>3</v>
      </c>
      <c r="M243" s="112">
        <f t="shared" si="65"/>
        <v>3</v>
      </c>
      <c r="N243" s="37">
        <f>'2023.'!N243*1.025</f>
        <v>72.955399999999983</v>
      </c>
      <c r="O243" s="21">
        <f t="shared" si="63"/>
        <v>218.86619999999994</v>
      </c>
      <c r="P243" s="128">
        <f t="shared" si="64"/>
        <v>0</v>
      </c>
      <c r="Q243" s="128">
        <f t="shared" si="64"/>
        <v>0</v>
      </c>
    </row>
    <row r="244" spans="1:17" s="15" customFormat="1" ht="15" customHeight="1" x14ac:dyDescent="0.3">
      <c r="A244" s="254" t="s">
        <v>399</v>
      </c>
      <c r="B244" s="254"/>
      <c r="C244" s="254"/>
      <c r="D244" s="254"/>
      <c r="E244" s="254"/>
      <c r="F244" s="12">
        <f>'2023.'!P244</f>
        <v>23</v>
      </c>
      <c r="G244" s="12">
        <f>'2023.'!Q244</f>
        <v>23</v>
      </c>
      <c r="H244" s="12">
        <f t="shared" si="61"/>
        <v>10.166666666666666</v>
      </c>
      <c r="I244" s="12">
        <f t="shared" si="62"/>
        <v>10.166666666666666</v>
      </c>
      <c r="J244" s="12">
        <f t="shared" ref="J244:L244" si="78">SUM(J245)</f>
        <v>122</v>
      </c>
      <c r="K244" s="12">
        <f t="shared" si="78"/>
        <v>122</v>
      </c>
      <c r="L244" s="12">
        <f t="shared" si="78"/>
        <v>96</v>
      </c>
      <c r="M244" s="12">
        <f t="shared" ref="M244" si="79">SUM(M245)</f>
        <v>96</v>
      </c>
      <c r="N244" s="13" t="s">
        <v>426</v>
      </c>
      <c r="O244" s="14">
        <f>SUM(O245:O245)</f>
        <v>554.7299999999999</v>
      </c>
      <c r="P244" s="12">
        <f>SUM(P245)</f>
        <v>26</v>
      </c>
      <c r="Q244" s="12">
        <f t="shared" ref="Q244" si="80">SUM(Q245)</f>
        <v>26</v>
      </c>
    </row>
    <row r="245" spans="1:17" ht="14.5" x14ac:dyDescent="0.3">
      <c r="A245" s="16">
        <v>225</v>
      </c>
      <c r="B245" s="16">
        <v>11</v>
      </c>
      <c r="C245" s="19" t="s">
        <v>401</v>
      </c>
      <c r="D245" s="20" t="s">
        <v>6</v>
      </c>
      <c r="E245" s="20">
        <v>2</v>
      </c>
      <c r="F245" s="128">
        <f>'2023.'!P245</f>
        <v>23</v>
      </c>
      <c r="G245" s="128">
        <f>'2023.'!Q245</f>
        <v>23</v>
      </c>
      <c r="H245" s="128">
        <f t="shared" si="61"/>
        <v>10.166666666666666</v>
      </c>
      <c r="I245" s="128">
        <f t="shared" si="62"/>
        <v>10.166666666666666</v>
      </c>
      <c r="J245" s="112">
        <f>ROUND('2023.'!J245*1.025,0)</f>
        <v>122</v>
      </c>
      <c r="K245" s="112">
        <f t="shared" ref="K245" si="81">ROUND(IF(F245=0,J245,J245*(G245/F245)),0)</f>
        <v>122</v>
      </c>
      <c r="L245" s="110">
        <v>96</v>
      </c>
      <c r="M245" s="112">
        <f t="shared" si="65"/>
        <v>96</v>
      </c>
      <c r="N245" s="37">
        <f>'2023.'!N245*1.025</f>
        <v>5.778437499999999</v>
      </c>
      <c r="O245" s="21">
        <f t="shared" si="63"/>
        <v>554.7299999999999</v>
      </c>
      <c r="P245" s="128">
        <f t="shared" si="64"/>
        <v>26</v>
      </c>
      <c r="Q245" s="128">
        <f t="shared" si="64"/>
        <v>26</v>
      </c>
    </row>
    <row r="246" spans="1:17" x14ac:dyDescent="0.3">
      <c r="F246" s="69"/>
      <c r="G246" s="69"/>
      <c r="H246" s="69"/>
      <c r="I246" s="69"/>
      <c r="J246" s="69"/>
      <c r="K246" s="69"/>
      <c r="L246" s="69"/>
      <c r="M246" s="69"/>
      <c r="N246" s="39"/>
      <c r="O246" s="70"/>
      <c r="P246" s="69"/>
      <c r="Q246" s="69"/>
    </row>
    <row r="247" spans="1:17" s="15" customFormat="1" ht="15" customHeight="1" x14ac:dyDescent="0.3">
      <c r="A247" s="254" t="s">
        <v>437</v>
      </c>
      <c r="B247" s="254"/>
      <c r="C247" s="254"/>
      <c r="D247" s="254"/>
      <c r="E247" s="254"/>
      <c r="F247" s="12">
        <f>F7+F14+F16+F132+F158+F166+F181+F226+F229+F234+F244</f>
        <v>2255</v>
      </c>
      <c r="G247" s="12">
        <f t="shared" ref="G247:Q247" si="82">G7+G14+G16+G132+G158+G166+G181+G226+G229+G234+G244</f>
        <v>2704</v>
      </c>
      <c r="H247" s="12">
        <f t="shared" si="82"/>
        <v>1597.25</v>
      </c>
      <c r="I247" s="12">
        <f t="shared" si="82"/>
        <v>2018.5833333333335</v>
      </c>
      <c r="J247" s="12">
        <f t="shared" si="82"/>
        <v>19167</v>
      </c>
      <c r="K247" s="12">
        <f t="shared" si="82"/>
        <v>24223</v>
      </c>
      <c r="L247" s="12">
        <f t="shared" si="82"/>
        <v>16912</v>
      </c>
      <c r="M247" s="12">
        <f>M7+M14+M16+M132+M158+M166+M181+M226+M229+M234+M244</f>
        <v>21489</v>
      </c>
      <c r="N247" s="13" t="s">
        <v>426</v>
      </c>
      <c r="O247" s="14">
        <f t="shared" si="82"/>
        <v>8425380.4403228108</v>
      </c>
      <c r="P247" s="12">
        <f t="shared" si="82"/>
        <v>2255</v>
      </c>
      <c r="Q247" s="12">
        <f t="shared" si="82"/>
        <v>2734</v>
      </c>
    </row>
    <row r="250" spans="1:17" x14ac:dyDescent="0.3">
      <c r="A250" s="194" t="s">
        <v>535</v>
      </c>
    </row>
    <row r="251" spans="1:17" x14ac:dyDescent="0.3">
      <c r="A251" s="195" t="s">
        <v>536</v>
      </c>
    </row>
    <row r="252" spans="1:17" x14ac:dyDescent="0.3">
      <c r="A252" s="195" t="s">
        <v>537</v>
      </c>
    </row>
    <row r="253" spans="1:17" x14ac:dyDescent="0.3">
      <c r="A253" s="195" t="s">
        <v>538</v>
      </c>
    </row>
    <row r="254" spans="1:17" ht="14.5" x14ac:dyDescent="0.3">
      <c r="A254" s="196" t="s">
        <v>539</v>
      </c>
    </row>
  </sheetData>
  <autoFilter ref="A6:Q245" xr:uid="{4ABA9237-B93D-4787-A9D3-568D2ABC36A4}"/>
  <mergeCells count="29">
    <mergeCell ref="A247:E247"/>
    <mergeCell ref="A1:Q1"/>
    <mergeCell ref="A2:Q2"/>
    <mergeCell ref="A3:Q3"/>
    <mergeCell ref="A166:E166"/>
    <mergeCell ref="A181:E181"/>
    <mergeCell ref="A226:E226"/>
    <mergeCell ref="A229:E229"/>
    <mergeCell ref="A234:E234"/>
    <mergeCell ref="A244:E244"/>
    <mergeCell ref="A16:E16"/>
    <mergeCell ref="A17:E17"/>
    <mergeCell ref="A88:E88"/>
    <mergeCell ref="A114:E114"/>
    <mergeCell ref="A132:E132"/>
    <mergeCell ref="A158:E158"/>
    <mergeCell ref="L4:M4"/>
    <mergeCell ref="N4:N5"/>
    <mergeCell ref="O4:O5"/>
    <mergeCell ref="P4:Q4"/>
    <mergeCell ref="A7:E7"/>
    <mergeCell ref="F4:G4"/>
    <mergeCell ref="H4:I4"/>
    <mergeCell ref="J4:K4"/>
    <mergeCell ref="A14:E14"/>
    <mergeCell ref="A4:B5"/>
    <mergeCell ref="C4:C5"/>
    <mergeCell ref="D4:D5"/>
    <mergeCell ref="E4:E5"/>
  </mergeCells>
  <hyperlinks>
    <hyperlink ref="C230" r:id="rId1" display="http://www.eastin.eu/lv-lv/searches/Products/List?iso=180315" xr:uid="{8B7C0594-165B-45EE-81E7-375D657BC01E}"/>
    <hyperlink ref="A254" r:id="rId2" display="mailto:Sandra.Strele@lm.gov.lv" xr:uid="{D138AE14-513F-4253-BFAC-EBCB0842CA74}"/>
  </hyperlinks>
  <pageMargins left="0.51181102362204722" right="0.51181102362204722" top="0.74803149606299213" bottom="0.74803149606299213" header="0.31496062992125984" footer="0.31496062992125984"/>
  <pageSetup scale="58" orientation="landscape" r:id="rId3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7ACE-232B-43D0-9CBF-D0313B940E06}">
  <dimension ref="A1:M31"/>
  <sheetViews>
    <sheetView zoomScale="90" zoomScaleNormal="90" workbookViewId="0">
      <selection activeCell="H26" sqref="H26"/>
    </sheetView>
  </sheetViews>
  <sheetFormatPr defaultRowHeight="13" x14ac:dyDescent="0.3"/>
  <cols>
    <col min="1" max="1" width="5.08984375" style="155" customWidth="1"/>
    <col min="2" max="2" width="27.08984375" style="155" customWidth="1"/>
    <col min="3" max="3" width="8.08984375" style="155" bestFit="1" customWidth="1"/>
    <col min="4" max="4" width="9" style="155" customWidth="1"/>
    <col min="5" max="5" width="6.6328125" style="155" bestFit="1" customWidth="1"/>
    <col min="6" max="6" width="9" style="155" bestFit="1" customWidth="1"/>
    <col min="7" max="7" width="9.90625" style="155" bestFit="1" customWidth="1"/>
    <col min="8" max="11" width="12" style="155" customWidth="1"/>
    <col min="12" max="12" width="15.6328125" style="155" bestFit="1" customWidth="1"/>
    <col min="13" max="13" width="15" style="155" bestFit="1" customWidth="1"/>
    <col min="14" max="14" width="15" style="155" customWidth="1"/>
    <col min="15" max="15" width="8.90625" style="155"/>
    <col min="16" max="16" width="19.6328125" style="155" customWidth="1"/>
    <col min="17" max="253" width="8.90625" style="155"/>
    <col min="254" max="254" width="5.08984375" style="155" customWidth="1"/>
    <col min="255" max="255" width="35" style="155" customWidth="1"/>
    <col min="256" max="256" width="8.08984375" style="155" bestFit="1" customWidth="1"/>
    <col min="257" max="257" width="9" style="155" customWidth="1"/>
    <col min="258" max="258" width="6.6328125" style="155" bestFit="1" customWidth="1"/>
    <col min="259" max="259" width="9" style="155" bestFit="1" customWidth="1"/>
    <col min="260" max="260" width="9.90625" style="155" bestFit="1" customWidth="1"/>
    <col min="261" max="262" width="10.81640625" style="155" bestFit="1" customWidth="1"/>
    <col min="263" max="263" width="16.08984375" style="155" bestFit="1" customWidth="1"/>
    <col min="264" max="264" width="16" style="155" bestFit="1" customWidth="1"/>
    <col min="265" max="265" width="15.6328125" style="155" bestFit="1" customWidth="1"/>
    <col min="266" max="266" width="15" style="155" bestFit="1" customWidth="1"/>
    <col min="267" max="267" width="16.90625" style="155" bestFit="1" customWidth="1"/>
    <col min="268" max="268" width="15.6328125" style="155" bestFit="1" customWidth="1"/>
    <col min="269" max="269" width="15" style="155" bestFit="1" customWidth="1"/>
    <col min="270" max="270" width="15" style="155" customWidth="1"/>
    <col min="271" max="271" width="8.90625" style="155"/>
    <col min="272" max="272" width="19.6328125" style="155" customWidth="1"/>
    <col min="273" max="509" width="8.90625" style="155"/>
    <col min="510" max="510" width="5.08984375" style="155" customWidth="1"/>
    <col min="511" max="511" width="35" style="155" customWidth="1"/>
    <col min="512" max="512" width="8.08984375" style="155" bestFit="1" customWidth="1"/>
    <col min="513" max="513" width="9" style="155" customWidth="1"/>
    <col min="514" max="514" width="6.6328125" style="155" bestFit="1" customWidth="1"/>
    <col min="515" max="515" width="9" style="155" bestFit="1" customWidth="1"/>
    <col min="516" max="516" width="9.90625" style="155" bestFit="1" customWidth="1"/>
    <col min="517" max="518" width="10.81640625" style="155" bestFit="1" customWidth="1"/>
    <col min="519" max="519" width="16.08984375" style="155" bestFit="1" customWidth="1"/>
    <col min="520" max="520" width="16" style="155" bestFit="1" customWidth="1"/>
    <col min="521" max="521" width="15.6328125" style="155" bestFit="1" customWidth="1"/>
    <col min="522" max="522" width="15" style="155" bestFit="1" customWidth="1"/>
    <col min="523" max="523" width="16.90625" style="155" bestFit="1" customWidth="1"/>
    <col min="524" max="524" width="15.6328125" style="155" bestFit="1" customWidth="1"/>
    <col min="525" max="525" width="15" style="155" bestFit="1" customWidth="1"/>
    <col min="526" max="526" width="15" style="155" customWidth="1"/>
    <col min="527" max="527" width="8.90625" style="155"/>
    <col min="528" max="528" width="19.6328125" style="155" customWidth="1"/>
    <col min="529" max="765" width="8.90625" style="155"/>
    <col min="766" max="766" width="5.08984375" style="155" customWidth="1"/>
    <col min="767" max="767" width="35" style="155" customWidth="1"/>
    <col min="768" max="768" width="8.08984375" style="155" bestFit="1" customWidth="1"/>
    <col min="769" max="769" width="9" style="155" customWidth="1"/>
    <col min="770" max="770" width="6.6328125" style="155" bestFit="1" customWidth="1"/>
    <col min="771" max="771" width="9" style="155" bestFit="1" customWidth="1"/>
    <col min="772" max="772" width="9.90625" style="155" bestFit="1" customWidth="1"/>
    <col min="773" max="774" width="10.81640625" style="155" bestFit="1" customWidth="1"/>
    <col min="775" max="775" width="16.08984375" style="155" bestFit="1" customWidth="1"/>
    <col min="776" max="776" width="16" style="155" bestFit="1" customWidth="1"/>
    <col min="777" max="777" width="15.6328125" style="155" bestFit="1" customWidth="1"/>
    <col min="778" max="778" width="15" style="155" bestFit="1" customWidth="1"/>
    <col min="779" max="779" width="16.90625" style="155" bestFit="1" customWidth="1"/>
    <col min="780" max="780" width="15.6328125" style="155" bestFit="1" customWidth="1"/>
    <col min="781" max="781" width="15" style="155" bestFit="1" customWidth="1"/>
    <col min="782" max="782" width="15" style="155" customWidth="1"/>
    <col min="783" max="783" width="8.90625" style="155"/>
    <col min="784" max="784" width="19.6328125" style="155" customWidth="1"/>
    <col min="785" max="1021" width="8.90625" style="155"/>
    <col min="1022" max="1022" width="5.08984375" style="155" customWidth="1"/>
    <col min="1023" max="1023" width="35" style="155" customWidth="1"/>
    <col min="1024" max="1024" width="8.08984375" style="155" bestFit="1" customWidth="1"/>
    <col min="1025" max="1025" width="9" style="155" customWidth="1"/>
    <col min="1026" max="1026" width="6.6328125" style="155" bestFit="1" customWidth="1"/>
    <col min="1027" max="1027" width="9" style="155" bestFit="1" customWidth="1"/>
    <col min="1028" max="1028" width="9.90625" style="155" bestFit="1" customWidth="1"/>
    <col min="1029" max="1030" width="10.81640625" style="155" bestFit="1" customWidth="1"/>
    <col min="1031" max="1031" width="16.08984375" style="155" bestFit="1" customWidth="1"/>
    <col min="1032" max="1032" width="16" style="155" bestFit="1" customWidth="1"/>
    <col min="1033" max="1033" width="15.6328125" style="155" bestFit="1" customWidth="1"/>
    <col min="1034" max="1034" width="15" style="155" bestFit="1" customWidth="1"/>
    <col min="1035" max="1035" width="16.90625" style="155" bestFit="1" customWidth="1"/>
    <col min="1036" max="1036" width="15.6328125" style="155" bestFit="1" customWidth="1"/>
    <col min="1037" max="1037" width="15" style="155" bestFit="1" customWidth="1"/>
    <col min="1038" max="1038" width="15" style="155" customWidth="1"/>
    <col min="1039" max="1039" width="8.90625" style="155"/>
    <col min="1040" max="1040" width="19.6328125" style="155" customWidth="1"/>
    <col min="1041" max="1277" width="8.90625" style="155"/>
    <col min="1278" max="1278" width="5.08984375" style="155" customWidth="1"/>
    <col min="1279" max="1279" width="35" style="155" customWidth="1"/>
    <col min="1280" max="1280" width="8.08984375" style="155" bestFit="1" customWidth="1"/>
    <col min="1281" max="1281" width="9" style="155" customWidth="1"/>
    <col min="1282" max="1282" width="6.6328125" style="155" bestFit="1" customWidth="1"/>
    <col min="1283" max="1283" width="9" style="155" bestFit="1" customWidth="1"/>
    <col min="1284" max="1284" width="9.90625" style="155" bestFit="1" customWidth="1"/>
    <col min="1285" max="1286" width="10.81640625" style="155" bestFit="1" customWidth="1"/>
    <col min="1287" max="1287" width="16.08984375" style="155" bestFit="1" customWidth="1"/>
    <col min="1288" max="1288" width="16" style="155" bestFit="1" customWidth="1"/>
    <col min="1289" max="1289" width="15.6328125" style="155" bestFit="1" customWidth="1"/>
    <col min="1290" max="1290" width="15" style="155" bestFit="1" customWidth="1"/>
    <col min="1291" max="1291" width="16.90625" style="155" bestFit="1" customWidth="1"/>
    <col min="1292" max="1292" width="15.6328125" style="155" bestFit="1" customWidth="1"/>
    <col min="1293" max="1293" width="15" style="155" bestFit="1" customWidth="1"/>
    <col min="1294" max="1294" width="15" style="155" customWidth="1"/>
    <col min="1295" max="1295" width="8.90625" style="155"/>
    <col min="1296" max="1296" width="19.6328125" style="155" customWidth="1"/>
    <col min="1297" max="1533" width="8.90625" style="155"/>
    <col min="1534" max="1534" width="5.08984375" style="155" customWidth="1"/>
    <col min="1535" max="1535" width="35" style="155" customWidth="1"/>
    <col min="1536" max="1536" width="8.08984375" style="155" bestFit="1" customWidth="1"/>
    <col min="1537" max="1537" width="9" style="155" customWidth="1"/>
    <col min="1538" max="1538" width="6.6328125" style="155" bestFit="1" customWidth="1"/>
    <col min="1539" max="1539" width="9" style="155" bestFit="1" customWidth="1"/>
    <col min="1540" max="1540" width="9.90625" style="155" bestFit="1" customWidth="1"/>
    <col min="1541" max="1542" width="10.81640625" style="155" bestFit="1" customWidth="1"/>
    <col min="1543" max="1543" width="16.08984375" style="155" bestFit="1" customWidth="1"/>
    <col min="1544" max="1544" width="16" style="155" bestFit="1" customWidth="1"/>
    <col min="1545" max="1545" width="15.6328125" style="155" bestFit="1" customWidth="1"/>
    <col min="1546" max="1546" width="15" style="155" bestFit="1" customWidth="1"/>
    <col min="1547" max="1547" width="16.90625" style="155" bestFit="1" customWidth="1"/>
    <col min="1548" max="1548" width="15.6328125" style="155" bestFit="1" customWidth="1"/>
    <col min="1549" max="1549" width="15" style="155" bestFit="1" customWidth="1"/>
    <col min="1550" max="1550" width="15" style="155" customWidth="1"/>
    <col min="1551" max="1551" width="8.90625" style="155"/>
    <col min="1552" max="1552" width="19.6328125" style="155" customWidth="1"/>
    <col min="1553" max="1789" width="8.90625" style="155"/>
    <col min="1790" max="1790" width="5.08984375" style="155" customWidth="1"/>
    <col min="1791" max="1791" width="35" style="155" customWidth="1"/>
    <col min="1792" max="1792" width="8.08984375" style="155" bestFit="1" customWidth="1"/>
    <col min="1793" max="1793" width="9" style="155" customWidth="1"/>
    <col min="1794" max="1794" width="6.6328125" style="155" bestFit="1" customWidth="1"/>
    <col min="1795" max="1795" width="9" style="155" bestFit="1" customWidth="1"/>
    <col min="1796" max="1796" width="9.90625" style="155" bestFit="1" customWidth="1"/>
    <col min="1797" max="1798" width="10.81640625" style="155" bestFit="1" customWidth="1"/>
    <col min="1799" max="1799" width="16.08984375" style="155" bestFit="1" customWidth="1"/>
    <col min="1800" max="1800" width="16" style="155" bestFit="1" customWidth="1"/>
    <col min="1801" max="1801" width="15.6328125" style="155" bestFit="1" customWidth="1"/>
    <col min="1802" max="1802" width="15" style="155" bestFit="1" customWidth="1"/>
    <col min="1803" max="1803" width="16.90625" style="155" bestFit="1" customWidth="1"/>
    <col min="1804" max="1804" width="15.6328125" style="155" bestFit="1" customWidth="1"/>
    <col min="1805" max="1805" width="15" style="155" bestFit="1" customWidth="1"/>
    <col min="1806" max="1806" width="15" style="155" customWidth="1"/>
    <col min="1807" max="1807" width="8.90625" style="155"/>
    <col min="1808" max="1808" width="19.6328125" style="155" customWidth="1"/>
    <col min="1809" max="2045" width="8.90625" style="155"/>
    <col min="2046" max="2046" width="5.08984375" style="155" customWidth="1"/>
    <col min="2047" max="2047" width="35" style="155" customWidth="1"/>
    <col min="2048" max="2048" width="8.08984375" style="155" bestFit="1" customWidth="1"/>
    <col min="2049" max="2049" width="9" style="155" customWidth="1"/>
    <col min="2050" max="2050" width="6.6328125" style="155" bestFit="1" customWidth="1"/>
    <col min="2051" max="2051" width="9" style="155" bestFit="1" customWidth="1"/>
    <col min="2052" max="2052" width="9.90625" style="155" bestFit="1" customWidth="1"/>
    <col min="2053" max="2054" width="10.81640625" style="155" bestFit="1" customWidth="1"/>
    <col min="2055" max="2055" width="16.08984375" style="155" bestFit="1" customWidth="1"/>
    <col min="2056" max="2056" width="16" style="155" bestFit="1" customWidth="1"/>
    <col min="2057" max="2057" width="15.6328125" style="155" bestFit="1" customWidth="1"/>
    <col min="2058" max="2058" width="15" style="155" bestFit="1" customWidth="1"/>
    <col min="2059" max="2059" width="16.90625" style="155" bestFit="1" customWidth="1"/>
    <col min="2060" max="2060" width="15.6328125" style="155" bestFit="1" customWidth="1"/>
    <col min="2061" max="2061" width="15" style="155" bestFit="1" customWidth="1"/>
    <col min="2062" max="2062" width="15" style="155" customWidth="1"/>
    <col min="2063" max="2063" width="8.90625" style="155"/>
    <col min="2064" max="2064" width="19.6328125" style="155" customWidth="1"/>
    <col min="2065" max="2301" width="8.90625" style="155"/>
    <col min="2302" max="2302" width="5.08984375" style="155" customWidth="1"/>
    <col min="2303" max="2303" width="35" style="155" customWidth="1"/>
    <col min="2304" max="2304" width="8.08984375" style="155" bestFit="1" customWidth="1"/>
    <col min="2305" max="2305" width="9" style="155" customWidth="1"/>
    <col min="2306" max="2306" width="6.6328125" style="155" bestFit="1" customWidth="1"/>
    <col min="2307" max="2307" width="9" style="155" bestFit="1" customWidth="1"/>
    <col min="2308" max="2308" width="9.90625" style="155" bestFit="1" customWidth="1"/>
    <col min="2309" max="2310" width="10.81640625" style="155" bestFit="1" customWidth="1"/>
    <col min="2311" max="2311" width="16.08984375" style="155" bestFit="1" customWidth="1"/>
    <col min="2312" max="2312" width="16" style="155" bestFit="1" customWidth="1"/>
    <col min="2313" max="2313" width="15.6328125" style="155" bestFit="1" customWidth="1"/>
    <col min="2314" max="2314" width="15" style="155" bestFit="1" customWidth="1"/>
    <col min="2315" max="2315" width="16.90625" style="155" bestFit="1" customWidth="1"/>
    <col min="2316" max="2316" width="15.6328125" style="155" bestFit="1" customWidth="1"/>
    <col min="2317" max="2317" width="15" style="155" bestFit="1" customWidth="1"/>
    <col min="2318" max="2318" width="15" style="155" customWidth="1"/>
    <col min="2319" max="2319" width="8.90625" style="155"/>
    <col min="2320" max="2320" width="19.6328125" style="155" customWidth="1"/>
    <col min="2321" max="2557" width="8.90625" style="155"/>
    <col min="2558" max="2558" width="5.08984375" style="155" customWidth="1"/>
    <col min="2559" max="2559" width="35" style="155" customWidth="1"/>
    <col min="2560" max="2560" width="8.08984375" style="155" bestFit="1" customWidth="1"/>
    <col min="2561" max="2561" width="9" style="155" customWidth="1"/>
    <col min="2562" max="2562" width="6.6328125" style="155" bestFit="1" customWidth="1"/>
    <col min="2563" max="2563" width="9" style="155" bestFit="1" customWidth="1"/>
    <col min="2564" max="2564" width="9.90625" style="155" bestFit="1" customWidth="1"/>
    <col min="2565" max="2566" width="10.81640625" style="155" bestFit="1" customWidth="1"/>
    <col min="2567" max="2567" width="16.08984375" style="155" bestFit="1" customWidth="1"/>
    <col min="2568" max="2568" width="16" style="155" bestFit="1" customWidth="1"/>
    <col min="2569" max="2569" width="15.6328125" style="155" bestFit="1" customWidth="1"/>
    <col min="2570" max="2570" width="15" style="155" bestFit="1" customWidth="1"/>
    <col min="2571" max="2571" width="16.90625" style="155" bestFit="1" customWidth="1"/>
    <col min="2572" max="2572" width="15.6328125" style="155" bestFit="1" customWidth="1"/>
    <col min="2573" max="2573" width="15" style="155" bestFit="1" customWidth="1"/>
    <col min="2574" max="2574" width="15" style="155" customWidth="1"/>
    <col min="2575" max="2575" width="8.90625" style="155"/>
    <col min="2576" max="2576" width="19.6328125" style="155" customWidth="1"/>
    <col min="2577" max="2813" width="8.90625" style="155"/>
    <col min="2814" max="2814" width="5.08984375" style="155" customWidth="1"/>
    <col min="2815" max="2815" width="35" style="155" customWidth="1"/>
    <col min="2816" max="2816" width="8.08984375" style="155" bestFit="1" customWidth="1"/>
    <col min="2817" max="2817" width="9" style="155" customWidth="1"/>
    <col min="2818" max="2818" width="6.6328125" style="155" bestFit="1" customWidth="1"/>
    <col min="2819" max="2819" width="9" style="155" bestFit="1" customWidth="1"/>
    <col min="2820" max="2820" width="9.90625" style="155" bestFit="1" customWidth="1"/>
    <col min="2821" max="2822" width="10.81640625" style="155" bestFit="1" customWidth="1"/>
    <col min="2823" max="2823" width="16.08984375" style="155" bestFit="1" customWidth="1"/>
    <col min="2824" max="2824" width="16" style="155" bestFit="1" customWidth="1"/>
    <col min="2825" max="2825" width="15.6328125" style="155" bestFit="1" customWidth="1"/>
    <col min="2826" max="2826" width="15" style="155" bestFit="1" customWidth="1"/>
    <col min="2827" max="2827" width="16.90625" style="155" bestFit="1" customWidth="1"/>
    <col min="2828" max="2828" width="15.6328125" style="155" bestFit="1" customWidth="1"/>
    <col min="2829" max="2829" width="15" style="155" bestFit="1" customWidth="1"/>
    <col min="2830" max="2830" width="15" style="155" customWidth="1"/>
    <col min="2831" max="2831" width="8.90625" style="155"/>
    <col min="2832" max="2832" width="19.6328125" style="155" customWidth="1"/>
    <col min="2833" max="3069" width="8.90625" style="155"/>
    <col min="3070" max="3070" width="5.08984375" style="155" customWidth="1"/>
    <col min="3071" max="3071" width="35" style="155" customWidth="1"/>
    <col min="3072" max="3072" width="8.08984375" style="155" bestFit="1" customWidth="1"/>
    <col min="3073" max="3073" width="9" style="155" customWidth="1"/>
    <col min="3074" max="3074" width="6.6328125" style="155" bestFit="1" customWidth="1"/>
    <col min="3075" max="3075" width="9" style="155" bestFit="1" customWidth="1"/>
    <col min="3076" max="3076" width="9.90625" style="155" bestFit="1" customWidth="1"/>
    <col min="3077" max="3078" width="10.81640625" style="155" bestFit="1" customWidth="1"/>
    <col min="3079" max="3079" width="16.08984375" style="155" bestFit="1" customWidth="1"/>
    <col min="3080" max="3080" width="16" style="155" bestFit="1" customWidth="1"/>
    <col min="3081" max="3081" width="15.6328125" style="155" bestFit="1" customWidth="1"/>
    <col min="3082" max="3082" width="15" style="155" bestFit="1" customWidth="1"/>
    <col min="3083" max="3083" width="16.90625" style="155" bestFit="1" customWidth="1"/>
    <col min="3084" max="3084" width="15.6328125" style="155" bestFit="1" customWidth="1"/>
    <col min="3085" max="3085" width="15" style="155" bestFit="1" customWidth="1"/>
    <col min="3086" max="3086" width="15" style="155" customWidth="1"/>
    <col min="3087" max="3087" width="8.90625" style="155"/>
    <col min="3088" max="3088" width="19.6328125" style="155" customWidth="1"/>
    <col min="3089" max="3325" width="8.90625" style="155"/>
    <col min="3326" max="3326" width="5.08984375" style="155" customWidth="1"/>
    <col min="3327" max="3327" width="35" style="155" customWidth="1"/>
    <col min="3328" max="3328" width="8.08984375" style="155" bestFit="1" customWidth="1"/>
    <col min="3329" max="3329" width="9" style="155" customWidth="1"/>
    <col min="3330" max="3330" width="6.6328125" style="155" bestFit="1" customWidth="1"/>
    <col min="3331" max="3331" width="9" style="155" bestFit="1" customWidth="1"/>
    <col min="3332" max="3332" width="9.90625" style="155" bestFit="1" customWidth="1"/>
    <col min="3333" max="3334" width="10.81640625" style="155" bestFit="1" customWidth="1"/>
    <col min="3335" max="3335" width="16.08984375" style="155" bestFit="1" customWidth="1"/>
    <col min="3336" max="3336" width="16" style="155" bestFit="1" customWidth="1"/>
    <col min="3337" max="3337" width="15.6328125" style="155" bestFit="1" customWidth="1"/>
    <col min="3338" max="3338" width="15" style="155" bestFit="1" customWidth="1"/>
    <col min="3339" max="3339" width="16.90625" style="155" bestFit="1" customWidth="1"/>
    <col min="3340" max="3340" width="15.6328125" style="155" bestFit="1" customWidth="1"/>
    <col min="3341" max="3341" width="15" style="155" bestFit="1" customWidth="1"/>
    <col min="3342" max="3342" width="15" style="155" customWidth="1"/>
    <col min="3343" max="3343" width="8.90625" style="155"/>
    <col min="3344" max="3344" width="19.6328125" style="155" customWidth="1"/>
    <col min="3345" max="3581" width="8.90625" style="155"/>
    <col min="3582" max="3582" width="5.08984375" style="155" customWidth="1"/>
    <col min="3583" max="3583" width="35" style="155" customWidth="1"/>
    <col min="3584" max="3584" width="8.08984375" style="155" bestFit="1" customWidth="1"/>
    <col min="3585" max="3585" width="9" style="155" customWidth="1"/>
    <col min="3586" max="3586" width="6.6328125" style="155" bestFit="1" customWidth="1"/>
    <col min="3587" max="3587" width="9" style="155" bestFit="1" customWidth="1"/>
    <col min="3588" max="3588" width="9.90625" style="155" bestFit="1" customWidth="1"/>
    <col min="3589" max="3590" width="10.81640625" style="155" bestFit="1" customWidth="1"/>
    <col min="3591" max="3591" width="16.08984375" style="155" bestFit="1" customWidth="1"/>
    <col min="3592" max="3592" width="16" style="155" bestFit="1" customWidth="1"/>
    <col min="3593" max="3593" width="15.6328125" style="155" bestFit="1" customWidth="1"/>
    <col min="3594" max="3594" width="15" style="155" bestFit="1" customWidth="1"/>
    <col min="3595" max="3595" width="16.90625" style="155" bestFit="1" customWidth="1"/>
    <col min="3596" max="3596" width="15.6328125" style="155" bestFit="1" customWidth="1"/>
    <col min="3597" max="3597" width="15" style="155" bestFit="1" customWidth="1"/>
    <col min="3598" max="3598" width="15" style="155" customWidth="1"/>
    <col min="3599" max="3599" width="8.90625" style="155"/>
    <col min="3600" max="3600" width="19.6328125" style="155" customWidth="1"/>
    <col min="3601" max="3837" width="8.90625" style="155"/>
    <col min="3838" max="3838" width="5.08984375" style="155" customWidth="1"/>
    <col min="3839" max="3839" width="35" style="155" customWidth="1"/>
    <col min="3840" max="3840" width="8.08984375" style="155" bestFit="1" customWidth="1"/>
    <col min="3841" max="3841" width="9" style="155" customWidth="1"/>
    <col min="3842" max="3842" width="6.6328125" style="155" bestFit="1" customWidth="1"/>
    <col min="3843" max="3843" width="9" style="155" bestFit="1" customWidth="1"/>
    <col min="3844" max="3844" width="9.90625" style="155" bestFit="1" customWidth="1"/>
    <col min="3845" max="3846" width="10.81640625" style="155" bestFit="1" customWidth="1"/>
    <col min="3847" max="3847" width="16.08984375" style="155" bestFit="1" customWidth="1"/>
    <col min="3848" max="3848" width="16" style="155" bestFit="1" customWidth="1"/>
    <col min="3849" max="3849" width="15.6328125" style="155" bestFit="1" customWidth="1"/>
    <col min="3850" max="3850" width="15" style="155" bestFit="1" customWidth="1"/>
    <col min="3851" max="3851" width="16.90625" style="155" bestFit="1" customWidth="1"/>
    <col min="3852" max="3852" width="15.6328125" style="155" bestFit="1" customWidth="1"/>
    <col min="3853" max="3853" width="15" style="155" bestFit="1" customWidth="1"/>
    <col min="3854" max="3854" width="15" style="155" customWidth="1"/>
    <col min="3855" max="3855" width="8.90625" style="155"/>
    <col min="3856" max="3856" width="19.6328125" style="155" customWidth="1"/>
    <col min="3857" max="4093" width="8.90625" style="155"/>
    <col min="4094" max="4094" width="5.08984375" style="155" customWidth="1"/>
    <col min="4095" max="4095" width="35" style="155" customWidth="1"/>
    <col min="4096" max="4096" width="8.08984375" style="155" bestFit="1" customWidth="1"/>
    <col min="4097" max="4097" width="9" style="155" customWidth="1"/>
    <col min="4098" max="4098" width="6.6328125" style="155" bestFit="1" customWidth="1"/>
    <col min="4099" max="4099" width="9" style="155" bestFit="1" customWidth="1"/>
    <col min="4100" max="4100" width="9.90625" style="155" bestFit="1" customWidth="1"/>
    <col min="4101" max="4102" width="10.81640625" style="155" bestFit="1" customWidth="1"/>
    <col min="4103" max="4103" width="16.08984375" style="155" bestFit="1" customWidth="1"/>
    <col min="4104" max="4104" width="16" style="155" bestFit="1" customWidth="1"/>
    <col min="4105" max="4105" width="15.6328125" style="155" bestFit="1" customWidth="1"/>
    <col min="4106" max="4106" width="15" style="155" bestFit="1" customWidth="1"/>
    <col min="4107" max="4107" width="16.90625" style="155" bestFit="1" customWidth="1"/>
    <col min="4108" max="4108" width="15.6328125" style="155" bestFit="1" customWidth="1"/>
    <col min="4109" max="4109" width="15" style="155" bestFit="1" customWidth="1"/>
    <col min="4110" max="4110" width="15" style="155" customWidth="1"/>
    <col min="4111" max="4111" width="8.90625" style="155"/>
    <col min="4112" max="4112" width="19.6328125" style="155" customWidth="1"/>
    <col min="4113" max="4349" width="8.90625" style="155"/>
    <col min="4350" max="4350" width="5.08984375" style="155" customWidth="1"/>
    <col min="4351" max="4351" width="35" style="155" customWidth="1"/>
    <col min="4352" max="4352" width="8.08984375" style="155" bestFit="1" customWidth="1"/>
    <col min="4353" max="4353" width="9" style="155" customWidth="1"/>
    <col min="4354" max="4354" width="6.6328125" style="155" bestFit="1" customWidth="1"/>
    <col min="4355" max="4355" width="9" style="155" bestFit="1" customWidth="1"/>
    <col min="4356" max="4356" width="9.90625" style="155" bestFit="1" customWidth="1"/>
    <col min="4357" max="4358" width="10.81640625" style="155" bestFit="1" customWidth="1"/>
    <col min="4359" max="4359" width="16.08984375" style="155" bestFit="1" customWidth="1"/>
    <col min="4360" max="4360" width="16" style="155" bestFit="1" customWidth="1"/>
    <col min="4361" max="4361" width="15.6328125" style="155" bestFit="1" customWidth="1"/>
    <col min="4362" max="4362" width="15" style="155" bestFit="1" customWidth="1"/>
    <col min="4363" max="4363" width="16.90625" style="155" bestFit="1" customWidth="1"/>
    <col min="4364" max="4364" width="15.6328125" style="155" bestFit="1" customWidth="1"/>
    <col min="4365" max="4365" width="15" style="155" bestFit="1" customWidth="1"/>
    <col min="4366" max="4366" width="15" style="155" customWidth="1"/>
    <col min="4367" max="4367" width="8.90625" style="155"/>
    <col min="4368" max="4368" width="19.6328125" style="155" customWidth="1"/>
    <col min="4369" max="4605" width="8.90625" style="155"/>
    <col min="4606" max="4606" width="5.08984375" style="155" customWidth="1"/>
    <col min="4607" max="4607" width="35" style="155" customWidth="1"/>
    <col min="4608" max="4608" width="8.08984375" style="155" bestFit="1" customWidth="1"/>
    <col min="4609" max="4609" width="9" style="155" customWidth="1"/>
    <col min="4610" max="4610" width="6.6328125" style="155" bestFit="1" customWidth="1"/>
    <col min="4611" max="4611" width="9" style="155" bestFit="1" customWidth="1"/>
    <col min="4612" max="4612" width="9.90625" style="155" bestFit="1" customWidth="1"/>
    <col min="4613" max="4614" width="10.81640625" style="155" bestFit="1" customWidth="1"/>
    <col min="4615" max="4615" width="16.08984375" style="155" bestFit="1" customWidth="1"/>
    <col min="4616" max="4616" width="16" style="155" bestFit="1" customWidth="1"/>
    <col min="4617" max="4617" width="15.6328125" style="155" bestFit="1" customWidth="1"/>
    <col min="4618" max="4618" width="15" style="155" bestFit="1" customWidth="1"/>
    <col min="4619" max="4619" width="16.90625" style="155" bestFit="1" customWidth="1"/>
    <col min="4620" max="4620" width="15.6328125" style="155" bestFit="1" customWidth="1"/>
    <col min="4621" max="4621" width="15" style="155" bestFit="1" customWidth="1"/>
    <col min="4622" max="4622" width="15" style="155" customWidth="1"/>
    <col min="4623" max="4623" width="8.90625" style="155"/>
    <col min="4624" max="4624" width="19.6328125" style="155" customWidth="1"/>
    <col min="4625" max="4861" width="8.90625" style="155"/>
    <col min="4862" max="4862" width="5.08984375" style="155" customWidth="1"/>
    <col min="4863" max="4863" width="35" style="155" customWidth="1"/>
    <col min="4864" max="4864" width="8.08984375" style="155" bestFit="1" customWidth="1"/>
    <col min="4865" max="4865" width="9" style="155" customWidth="1"/>
    <col min="4866" max="4866" width="6.6328125" style="155" bestFit="1" customWidth="1"/>
    <col min="4867" max="4867" width="9" style="155" bestFit="1" customWidth="1"/>
    <col min="4868" max="4868" width="9.90625" style="155" bestFit="1" customWidth="1"/>
    <col min="4869" max="4870" width="10.81640625" style="155" bestFit="1" customWidth="1"/>
    <col min="4871" max="4871" width="16.08984375" style="155" bestFit="1" customWidth="1"/>
    <col min="4872" max="4872" width="16" style="155" bestFit="1" customWidth="1"/>
    <col min="4873" max="4873" width="15.6328125" style="155" bestFit="1" customWidth="1"/>
    <col min="4874" max="4874" width="15" style="155" bestFit="1" customWidth="1"/>
    <col min="4875" max="4875" width="16.90625" style="155" bestFit="1" customWidth="1"/>
    <col min="4876" max="4876" width="15.6328125" style="155" bestFit="1" customWidth="1"/>
    <col min="4877" max="4877" width="15" style="155" bestFit="1" customWidth="1"/>
    <col min="4878" max="4878" width="15" style="155" customWidth="1"/>
    <col min="4879" max="4879" width="8.90625" style="155"/>
    <col min="4880" max="4880" width="19.6328125" style="155" customWidth="1"/>
    <col min="4881" max="5117" width="8.90625" style="155"/>
    <col min="5118" max="5118" width="5.08984375" style="155" customWidth="1"/>
    <col min="5119" max="5119" width="35" style="155" customWidth="1"/>
    <col min="5120" max="5120" width="8.08984375" style="155" bestFit="1" customWidth="1"/>
    <col min="5121" max="5121" width="9" style="155" customWidth="1"/>
    <col min="5122" max="5122" width="6.6328125" style="155" bestFit="1" customWidth="1"/>
    <col min="5123" max="5123" width="9" style="155" bestFit="1" customWidth="1"/>
    <col min="5124" max="5124" width="9.90625" style="155" bestFit="1" customWidth="1"/>
    <col min="5125" max="5126" width="10.81640625" style="155" bestFit="1" customWidth="1"/>
    <col min="5127" max="5127" width="16.08984375" style="155" bestFit="1" customWidth="1"/>
    <col min="5128" max="5128" width="16" style="155" bestFit="1" customWidth="1"/>
    <col min="5129" max="5129" width="15.6328125" style="155" bestFit="1" customWidth="1"/>
    <col min="5130" max="5130" width="15" style="155" bestFit="1" customWidth="1"/>
    <col min="5131" max="5131" width="16.90625" style="155" bestFit="1" customWidth="1"/>
    <col min="5132" max="5132" width="15.6328125" style="155" bestFit="1" customWidth="1"/>
    <col min="5133" max="5133" width="15" style="155" bestFit="1" customWidth="1"/>
    <col min="5134" max="5134" width="15" style="155" customWidth="1"/>
    <col min="5135" max="5135" width="8.90625" style="155"/>
    <col min="5136" max="5136" width="19.6328125" style="155" customWidth="1"/>
    <col min="5137" max="5373" width="8.90625" style="155"/>
    <col min="5374" max="5374" width="5.08984375" style="155" customWidth="1"/>
    <col min="5375" max="5375" width="35" style="155" customWidth="1"/>
    <col min="5376" max="5376" width="8.08984375" style="155" bestFit="1" customWidth="1"/>
    <col min="5377" max="5377" width="9" style="155" customWidth="1"/>
    <col min="5378" max="5378" width="6.6328125" style="155" bestFit="1" customWidth="1"/>
    <col min="5379" max="5379" width="9" style="155" bestFit="1" customWidth="1"/>
    <col min="5380" max="5380" width="9.90625" style="155" bestFit="1" customWidth="1"/>
    <col min="5381" max="5382" width="10.81640625" style="155" bestFit="1" customWidth="1"/>
    <col min="5383" max="5383" width="16.08984375" style="155" bestFit="1" customWidth="1"/>
    <col min="5384" max="5384" width="16" style="155" bestFit="1" customWidth="1"/>
    <col min="5385" max="5385" width="15.6328125" style="155" bestFit="1" customWidth="1"/>
    <col min="5386" max="5386" width="15" style="155" bestFit="1" customWidth="1"/>
    <col min="5387" max="5387" width="16.90625" style="155" bestFit="1" customWidth="1"/>
    <col min="5388" max="5388" width="15.6328125" style="155" bestFit="1" customWidth="1"/>
    <col min="5389" max="5389" width="15" style="155" bestFit="1" customWidth="1"/>
    <col min="5390" max="5390" width="15" style="155" customWidth="1"/>
    <col min="5391" max="5391" width="8.90625" style="155"/>
    <col min="5392" max="5392" width="19.6328125" style="155" customWidth="1"/>
    <col min="5393" max="5629" width="8.90625" style="155"/>
    <col min="5630" max="5630" width="5.08984375" style="155" customWidth="1"/>
    <col min="5631" max="5631" width="35" style="155" customWidth="1"/>
    <col min="5632" max="5632" width="8.08984375" style="155" bestFit="1" customWidth="1"/>
    <col min="5633" max="5633" width="9" style="155" customWidth="1"/>
    <col min="5634" max="5634" width="6.6328125" style="155" bestFit="1" customWidth="1"/>
    <col min="5635" max="5635" width="9" style="155" bestFit="1" customWidth="1"/>
    <col min="5636" max="5636" width="9.90625" style="155" bestFit="1" customWidth="1"/>
    <col min="5637" max="5638" width="10.81640625" style="155" bestFit="1" customWidth="1"/>
    <col min="5639" max="5639" width="16.08984375" style="155" bestFit="1" customWidth="1"/>
    <col min="5640" max="5640" width="16" style="155" bestFit="1" customWidth="1"/>
    <col min="5641" max="5641" width="15.6328125" style="155" bestFit="1" customWidth="1"/>
    <col min="5642" max="5642" width="15" style="155" bestFit="1" customWidth="1"/>
    <col min="5643" max="5643" width="16.90625" style="155" bestFit="1" customWidth="1"/>
    <col min="5644" max="5644" width="15.6328125" style="155" bestFit="1" customWidth="1"/>
    <col min="5645" max="5645" width="15" style="155" bestFit="1" customWidth="1"/>
    <col min="5646" max="5646" width="15" style="155" customWidth="1"/>
    <col min="5647" max="5647" width="8.90625" style="155"/>
    <col min="5648" max="5648" width="19.6328125" style="155" customWidth="1"/>
    <col min="5649" max="5885" width="8.90625" style="155"/>
    <col min="5886" max="5886" width="5.08984375" style="155" customWidth="1"/>
    <col min="5887" max="5887" width="35" style="155" customWidth="1"/>
    <col min="5888" max="5888" width="8.08984375" style="155" bestFit="1" customWidth="1"/>
    <col min="5889" max="5889" width="9" style="155" customWidth="1"/>
    <col min="5890" max="5890" width="6.6328125" style="155" bestFit="1" customWidth="1"/>
    <col min="5891" max="5891" width="9" style="155" bestFit="1" customWidth="1"/>
    <col min="5892" max="5892" width="9.90625" style="155" bestFit="1" customWidth="1"/>
    <col min="5893" max="5894" width="10.81640625" style="155" bestFit="1" customWidth="1"/>
    <col min="5895" max="5895" width="16.08984375" style="155" bestFit="1" customWidth="1"/>
    <col min="5896" max="5896" width="16" style="155" bestFit="1" customWidth="1"/>
    <col min="5897" max="5897" width="15.6328125" style="155" bestFit="1" customWidth="1"/>
    <col min="5898" max="5898" width="15" style="155" bestFit="1" customWidth="1"/>
    <col min="5899" max="5899" width="16.90625" style="155" bestFit="1" customWidth="1"/>
    <col min="5900" max="5900" width="15.6328125" style="155" bestFit="1" customWidth="1"/>
    <col min="5901" max="5901" width="15" style="155" bestFit="1" customWidth="1"/>
    <col min="5902" max="5902" width="15" style="155" customWidth="1"/>
    <col min="5903" max="5903" width="8.90625" style="155"/>
    <col min="5904" max="5904" width="19.6328125" style="155" customWidth="1"/>
    <col min="5905" max="6141" width="8.90625" style="155"/>
    <col min="6142" max="6142" width="5.08984375" style="155" customWidth="1"/>
    <col min="6143" max="6143" width="35" style="155" customWidth="1"/>
    <col min="6144" max="6144" width="8.08984375" style="155" bestFit="1" customWidth="1"/>
    <col min="6145" max="6145" width="9" style="155" customWidth="1"/>
    <col min="6146" max="6146" width="6.6328125" style="155" bestFit="1" customWidth="1"/>
    <col min="6147" max="6147" width="9" style="155" bestFit="1" customWidth="1"/>
    <col min="6148" max="6148" width="9.90625" style="155" bestFit="1" customWidth="1"/>
    <col min="6149" max="6150" width="10.81640625" style="155" bestFit="1" customWidth="1"/>
    <col min="6151" max="6151" width="16.08984375" style="155" bestFit="1" customWidth="1"/>
    <col min="6152" max="6152" width="16" style="155" bestFit="1" customWidth="1"/>
    <col min="6153" max="6153" width="15.6328125" style="155" bestFit="1" customWidth="1"/>
    <col min="6154" max="6154" width="15" style="155" bestFit="1" customWidth="1"/>
    <col min="6155" max="6155" width="16.90625" style="155" bestFit="1" customWidth="1"/>
    <col min="6156" max="6156" width="15.6328125" style="155" bestFit="1" customWidth="1"/>
    <col min="6157" max="6157" width="15" style="155" bestFit="1" customWidth="1"/>
    <col min="6158" max="6158" width="15" style="155" customWidth="1"/>
    <col min="6159" max="6159" width="8.90625" style="155"/>
    <col min="6160" max="6160" width="19.6328125" style="155" customWidth="1"/>
    <col min="6161" max="6397" width="8.90625" style="155"/>
    <col min="6398" max="6398" width="5.08984375" style="155" customWidth="1"/>
    <col min="6399" max="6399" width="35" style="155" customWidth="1"/>
    <col min="6400" max="6400" width="8.08984375" style="155" bestFit="1" customWidth="1"/>
    <col min="6401" max="6401" width="9" style="155" customWidth="1"/>
    <col min="6402" max="6402" width="6.6328125" style="155" bestFit="1" customWidth="1"/>
    <col min="6403" max="6403" width="9" style="155" bestFit="1" customWidth="1"/>
    <col min="6404" max="6404" width="9.90625" style="155" bestFit="1" customWidth="1"/>
    <col min="6405" max="6406" width="10.81640625" style="155" bestFit="1" customWidth="1"/>
    <col min="6407" max="6407" width="16.08984375" style="155" bestFit="1" customWidth="1"/>
    <col min="6408" max="6408" width="16" style="155" bestFit="1" customWidth="1"/>
    <col min="6409" max="6409" width="15.6328125" style="155" bestFit="1" customWidth="1"/>
    <col min="6410" max="6410" width="15" style="155" bestFit="1" customWidth="1"/>
    <col min="6411" max="6411" width="16.90625" style="155" bestFit="1" customWidth="1"/>
    <col min="6412" max="6412" width="15.6328125" style="155" bestFit="1" customWidth="1"/>
    <col min="6413" max="6413" width="15" style="155" bestFit="1" customWidth="1"/>
    <col min="6414" max="6414" width="15" style="155" customWidth="1"/>
    <col min="6415" max="6415" width="8.90625" style="155"/>
    <col min="6416" max="6416" width="19.6328125" style="155" customWidth="1"/>
    <col min="6417" max="6653" width="8.90625" style="155"/>
    <col min="6654" max="6654" width="5.08984375" style="155" customWidth="1"/>
    <col min="6655" max="6655" width="35" style="155" customWidth="1"/>
    <col min="6656" max="6656" width="8.08984375" style="155" bestFit="1" customWidth="1"/>
    <col min="6657" max="6657" width="9" style="155" customWidth="1"/>
    <col min="6658" max="6658" width="6.6328125" style="155" bestFit="1" customWidth="1"/>
    <col min="6659" max="6659" width="9" style="155" bestFit="1" customWidth="1"/>
    <col min="6660" max="6660" width="9.90625" style="155" bestFit="1" customWidth="1"/>
    <col min="6661" max="6662" width="10.81640625" style="155" bestFit="1" customWidth="1"/>
    <col min="6663" max="6663" width="16.08984375" style="155" bestFit="1" customWidth="1"/>
    <col min="6664" max="6664" width="16" style="155" bestFit="1" customWidth="1"/>
    <col min="6665" max="6665" width="15.6328125" style="155" bestFit="1" customWidth="1"/>
    <col min="6666" max="6666" width="15" style="155" bestFit="1" customWidth="1"/>
    <col min="6667" max="6667" width="16.90625" style="155" bestFit="1" customWidth="1"/>
    <col min="6668" max="6668" width="15.6328125" style="155" bestFit="1" customWidth="1"/>
    <col min="6669" max="6669" width="15" style="155" bestFit="1" customWidth="1"/>
    <col min="6670" max="6670" width="15" style="155" customWidth="1"/>
    <col min="6671" max="6671" width="8.90625" style="155"/>
    <col min="6672" max="6672" width="19.6328125" style="155" customWidth="1"/>
    <col min="6673" max="6909" width="8.90625" style="155"/>
    <col min="6910" max="6910" width="5.08984375" style="155" customWidth="1"/>
    <col min="6911" max="6911" width="35" style="155" customWidth="1"/>
    <col min="6912" max="6912" width="8.08984375" style="155" bestFit="1" customWidth="1"/>
    <col min="6913" max="6913" width="9" style="155" customWidth="1"/>
    <col min="6914" max="6914" width="6.6328125" style="155" bestFit="1" customWidth="1"/>
    <col min="6915" max="6915" width="9" style="155" bestFit="1" customWidth="1"/>
    <col min="6916" max="6916" width="9.90625" style="155" bestFit="1" customWidth="1"/>
    <col min="6917" max="6918" width="10.81640625" style="155" bestFit="1" customWidth="1"/>
    <col min="6919" max="6919" width="16.08984375" style="155" bestFit="1" customWidth="1"/>
    <col min="6920" max="6920" width="16" style="155" bestFit="1" customWidth="1"/>
    <col min="6921" max="6921" width="15.6328125" style="155" bestFit="1" customWidth="1"/>
    <col min="6922" max="6922" width="15" style="155" bestFit="1" customWidth="1"/>
    <col min="6923" max="6923" width="16.90625" style="155" bestFit="1" customWidth="1"/>
    <col min="6924" max="6924" width="15.6328125" style="155" bestFit="1" customWidth="1"/>
    <col min="6925" max="6925" width="15" style="155" bestFit="1" customWidth="1"/>
    <col min="6926" max="6926" width="15" style="155" customWidth="1"/>
    <col min="6927" max="6927" width="8.90625" style="155"/>
    <col min="6928" max="6928" width="19.6328125" style="155" customWidth="1"/>
    <col min="6929" max="7165" width="8.90625" style="155"/>
    <col min="7166" max="7166" width="5.08984375" style="155" customWidth="1"/>
    <col min="7167" max="7167" width="35" style="155" customWidth="1"/>
    <col min="7168" max="7168" width="8.08984375" style="155" bestFit="1" customWidth="1"/>
    <col min="7169" max="7169" width="9" style="155" customWidth="1"/>
    <col min="7170" max="7170" width="6.6328125" style="155" bestFit="1" customWidth="1"/>
    <col min="7171" max="7171" width="9" style="155" bestFit="1" customWidth="1"/>
    <col min="7172" max="7172" width="9.90625" style="155" bestFit="1" customWidth="1"/>
    <col min="7173" max="7174" width="10.81640625" style="155" bestFit="1" customWidth="1"/>
    <col min="7175" max="7175" width="16.08984375" style="155" bestFit="1" customWidth="1"/>
    <col min="7176" max="7176" width="16" style="155" bestFit="1" customWidth="1"/>
    <col min="7177" max="7177" width="15.6328125" style="155" bestFit="1" customWidth="1"/>
    <col min="7178" max="7178" width="15" style="155" bestFit="1" customWidth="1"/>
    <col min="7179" max="7179" width="16.90625" style="155" bestFit="1" customWidth="1"/>
    <col min="7180" max="7180" width="15.6328125" style="155" bestFit="1" customWidth="1"/>
    <col min="7181" max="7181" width="15" style="155" bestFit="1" customWidth="1"/>
    <col min="7182" max="7182" width="15" style="155" customWidth="1"/>
    <col min="7183" max="7183" width="8.90625" style="155"/>
    <col min="7184" max="7184" width="19.6328125" style="155" customWidth="1"/>
    <col min="7185" max="7421" width="8.90625" style="155"/>
    <col min="7422" max="7422" width="5.08984375" style="155" customWidth="1"/>
    <col min="7423" max="7423" width="35" style="155" customWidth="1"/>
    <col min="7424" max="7424" width="8.08984375" style="155" bestFit="1" customWidth="1"/>
    <col min="7425" max="7425" width="9" style="155" customWidth="1"/>
    <col min="7426" max="7426" width="6.6328125" style="155" bestFit="1" customWidth="1"/>
    <col min="7427" max="7427" width="9" style="155" bestFit="1" customWidth="1"/>
    <col min="7428" max="7428" width="9.90625" style="155" bestFit="1" customWidth="1"/>
    <col min="7429" max="7430" width="10.81640625" style="155" bestFit="1" customWidth="1"/>
    <col min="7431" max="7431" width="16.08984375" style="155" bestFit="1" customWidth="1"/>
    <col min="7432" max="7432" width="16" style="155" bestFit="1" customWidth="1"/>
    <col min="7433" max="7433" width="15.6328125" style="155" bestFit="1" customWidth="1"/>
    <col min="7434" max="7434" width="15" style="155" bestFit="1" customWidth="1"/>
    <col min="7435" max="7435" width="16.90625" style="155" bestFit="1" customWidth="1"/>
    <col min="7436" max="7436" width="15.6328125" style="155" bestFit="1" customWidth="1"/>
    <col min="7437" max="7437" width="15" style="155" bestFit="1" customWidth="1"/>
    <col min="7438" max="7438" width="15" style="155" customWidth="1"/>
    <col min="7439" max="7439" width="8.90625" style="155"/>
    <col min="7440" max="7440" width="19.6328125" style="155" customWidth="1"/>
    <col min="7441" max="7677" width="8.90625" style="155"/>
    <col min="7678" max="7678" width="5.08984375" style="155" customWidth="1"/>
    <col min="7679" max="7679" width="35" style="155" customWidth="1"/>
    <col min="7680" max="7680" width="8.08984375" style="155" bestFit="1" customWidth="1"/>
    <col min="7681" max="7681" width="9" style="155" customWidth="1"/>
    <col min="7682" max="7682" width="6.6328125" style="155" bestFit="1" customWidth="1"/>
    <col min="7683" max="7683" width="9" style="155" bestFit="1" customWidth="1"/>
    <col min="7684" max="7684" width="9.90625" style="155" bestFit="1" customWidth="1"/>
    <col min="7685" max="7686" width="10.81640625" style="155" bestFit="1" customWidth="1"/>
    <col min="7687" max="7687" width="16.08984375" style="155" bestFit="1" customWidth="1"/>
    <col min="7688" max="7688" width="16" style="155" bestFit="1" customWidth="1"/>
    <col min="7689" max="7689" width="15.6328125" style="155" bestFit="1" customWidth="1"/>
    <col min="7690" max="7690" width="15" style="155" bestFit="1" customWidth="1"/>
    <col min="7691" max="7691" width="16.90625" style="155" bestFit="1" customWidth="1"/>
    <col min="7692" max="7692" width="15.6328125" style="155" bestFit="1" customWidth="1"/>
    <col min="7693" max="7693" width="15" style="155" bestFit="1" customWidth="1"/>
    <col min="7694" max="7694" width="15" style="155" customWidth="1"/>
    <col min="7695" max="7695" width="8.90625" style="155"/>
    <col min="7696" max="7696" width="19.6328125" style="155" customWidth="1"/>
    <col min="7697" max="7933" width="8.90625" style="155"/>
    <col min="7934" max="7934" width="5.08984375" style="155" customWidth="1"/>
    <col min="7935" max="7935" width="35" style="155" customWidth="1"/>
    <col min="7936" max="7936" width="8.08984375" style="155" bestFit="1" customWidth="1"/>
    <col min="7937" max="7937" width="9" style="155" customWidth="1"/>
    <col min="7938" max="7938" width="6.6328125" style="155" bestFit="1" customWidth="1"/>
    <col min="7939" max="7939" width="9" style="155" bestFit="1" customWidth="1"/>
    <col min="7940" max="7940" width="9.90625" style="155" bestFit="1" customWidth="1"/>
    <col min="7941" max="7942" width="10.81640625" style="155" bestFit="1" customWidth="1"/>
    <col min="7943" max="7943" width="16.08984375" style="155" bestFit="1" customWidth="1"/>
    <col min="7944" max="7944" width="16" style="155" bestFit="1" customWidth="1"/>
    <col min="7945" max="7945" width="15.6328125" style="155" bestFit="1" customWidth="1"/>
    <col min="7946" max="7946" width="15" style="155" bestFit="1" customWidth="1"/>
    <col min="7947" max="7947" width="16.90625" style="155" bestFit="1" customWidth="1"/>
    <col min="7948" max="7948" width="15.6328125" style="155" bestFit="1" customWidth="1"/>
    <col min="7949" max="7949" width="15" style="155" bestFit="1" customWidth="1"/>
    <col min="7950" max="7950" width="15" style="155" customWidth="1"/>
    <col min="7951" max="7951" width="8.90625" style="155"/>
    <col min="7952" max="7952" width="19.6328125" style="155" customWidth="1"/>
    <col min="7953" max="8189" width="8.90625" style="155"/>
    <col min="8190" max="8190" width="5.08984375" style="155" customWidth="1"/>
    <col min="8191" max="8191" width="35" style="155" customWidth="1"/>
    <col min="8192" max="8192" width="8.08984375" style="155" bestFit="1" customWidth="1"/>
    <col min="8193" max="8193" width="9" style="155" customWidth="1"/>
    <col min="8194" max="8194" width="6.6328125" style="155" bestFit="1" customWidth="1"/>
    <col min="8195" max="8195" width="9" style="155" bestFit="1" customWidth="1"/>
    <col min="8196" max="8196" width="9.90625" style="155" bestFit="1" customWidth="1"/>
    <col min="8197" max="8198" width="10.81640625" style="155" bestFit="1" customWidth="1"/>
    <col min="8199" max="8199" width="16.08984375" style="155" bestFit="1" customWidth="1"/>
    <col min="8200" max="8200" width="16" style="155" bestFit="1" customWidth="1"/>
    <col min="8201" max="8201" width="15.6328125" style="155" bestFit="1" customWidth="1"/>
    <col min="8202" max="8202" width="15" style="155" bestFit="1" customWidth="1"/>
    <col min="8203" max="8203" width="16.90625" style="155" bestFit="1" customWidth="1"/>
    <col min="8204" max="8204" width="15.6328125" style="155" bestFit="1" customWidth="1"/>
    <col min="8205" max="8205" width="15" style="155" bestFit="1" customWidth="1"/>
    <col min="8206" max="8206" width="15" style="155" customWidth="1"/>
    <col min="8207" max="8207" width="8.90625" style="155"/>
    <col min="8208" max="8208" width="19.6328125" style="155" customWidth="1"/>
    <col min="8209" max="8445" width="8.90625" style="155"/>
    <col min="8446" max="8446" width="5.08984375" style="155" customWidth="1"/>
    <col min="8447" max="8447" width="35" style="155" customWidth="1"/>
    <col min="8448" max="8448" width="8.08984375" style="155" bestFit="1" customWidth="1"/>
    <col min="8449" max="8449" width="9" style="155" customWidth="1"/>
    <col min="8450" max="8450" width="6.6328125" style="155" bestFit="1" customWidth="1"/>
    <col min="8451" max="8451" width="9" style="155" bestFit="1" customWidth="1"/>
    <col min="8452" max="8452" width="9.90625" style="155" bestFit="1" customWidth="1"/>
    <col min="8453" max="8454" width="10.81640625" style="155" bestFit="1" customWidth="1"/>
    <col min="8455" max="8455" width="16.08984375" style="155" bestFit="1" customWidth="1"/>
    <col min="8456" max="8456" width="16" style="155" bestFit="1" customWidth="1"/>
    <col min="8457" max="8457" width="15.6328125" style="155" bestFit="1" customWidth="1"/>
    <col min="8458" max="8458" width="15" style="155" bestFit="1" customWidth="1"/>
    <col min="8459" max="8459" width="16.90625" style="155" bestFit="1" customWidth="1"/>
    <col min="8460" max="8460" width="15.6328125" style="155" bestFit="1" customWidth="1"/>
    <col min="8461" max="8461" width="15" style="155" bestFit="1" customWidth="1"/>
    <col min="8462" max="8462" width="15" style="155" customWidth="1"/>
    <col min="8463" max="8463" width="8.90625" style="155"/>
    <col min="8464" max="8464" width="19.6328125" style="155" customWidth="1"/>
    <col min="8465" max="8701" width="8.90625" style="155"/>
    <col min="8702" max="8702" width="5.08984375" style="155" customWidth="1"/>
    <col min="8703" max="8703" width="35" style="155" customWidth="1"/>
    <col min="8704" max="8704" width="8.08984375" style="155" bestFit="1" customWidth="1"/>
    <col min="8705" max="8705" width="9" style="155" customWidth="1"/>
    <col min="8706" max="8706" width="6.6328125" style="155" bestFit="1" customWidth="1"/>
    <col min="8707" max="8707" width="9" style="155" bestFit="1" customWidth="1"/>
    <col min="8708" max="8708" width="9.90625" style="155" bestFit="1" customWidth="1"/>
    <col min="8709" max="8710" width="10.81640625" style="155" bestFit="1" customWidth="1"/>
    <col min="8711" max="8711" width="16.08984375" style="155" bestFit="1" customWidth="1"/>
    <col min="8712" max="8712" width="16" style="155" bestFit="1" customWidth="1"/>
    <col min="8713" max="8713" width="15.6328125" style="155" bestFit="1" customWidth="1"/>
    <col min="8714" max="8714" width="15" style="155" bestFit="1" customWidth="1"/>
    <col min="8715" max="8715" width="16.90625" style="155" bestFit="1" customWidth="1"/>
    <col min="8716" max="8716" width="15.6328125" style="155" bestFit="1" customWidth="1"/>
    <col min="8717" max="8717" width="15" style="155" bestFit="1" customWidth="1"/>
    <col min="8718" max="8718" width="15" style="155" customWidth="1"/>
    <col min="8719" max="8719" width="8.90625" style="155"/>
    <col min="8720" max="8720" width="19.6328125" style="155" customWidth="1"/>
    <col min="8721" max="8957" width="8.90625" style="155"/>
    <col min="8958" max="8958" width="5.08984375" style="155" customWidth="1"/>
    <col min="8959" max="8959" width="35" style="155" customWidth="1"/>
    <col min="8960" max="8960" width="8.08984375" style="155" bestFit="1" customWidth="1"/>
    <col min="8961" max="8961" width="9" style="155" customWidth="1"/>
    <col min="8962" max="8962" width="6.6328125" style="155" bestFit="1" customWidth="1"/>
    <col min="8963" max="8963" width="9" style="155" bestFit="1" customWidth="1"/>
    <col min="8964" max="8964" width="9.90625" style="155" bestFit="1" customWidth="1"/>
    <col min="8965" max="8966" width="10.81640625" style="155" bestFit="1" customWidth="1"/>
    <col min="8967" max="8967" width="16.08984375" style="155" bestFit="1" customWidth="1"/>
    <col min="8968" max="8968" width="16" style="155" bestFit="1" customWidth="1"/>
    <col min="8969" max="8969" width="15.6328125" style="155" bestFit="1" customWidth="1"/>
    <col min="8970" max="8970" width="15" style="155" bestFit="1" customWidth="1"/>
    <col min="8971" max="8971" width="16.90625" style="155" bestFit="1" customWidth="1"/>
    <col min="8972" max="8972" width="15.6328125" style="155" bestFit="1" customWidth="1"/>
    <col min="8973" max="8973" width="15" style="155" bestFit="1" customWidth="1"/>
    <col min="8974" max="8974" width="15" style="155" customWidth="1"/>
    <col min="8975" max="8975" width="8.90625" style="155"/>
    <col min="8976" max="8976" width="19.6328125" style="155" customWidth="1"/>
    <col min="8977" max="9213" width="8.90625" style="155"/>
    <col min="9214" max="9214" width="5.08984375" style="155" customWidth="1"/>
    <col min="9215" max="9215" width="35" style="155" customWidth="1"/>
    <col min="9216" max="9216" width="8.08984375" style="155" bestFit="1" customWidth="1"/>
    <col min="9217" max="9217" width="9" style="155" customWidth="1"/>
    <col min="9218" max="9218" width="6.6328125" style="155" bestFit="1" customWidth="1"/>
    <col min="9219" max="9219" width="9" style="155" bestFit="1" customWidth="1"/>
    <col min="9220" max="9220" width="9.90625" style="155" bestFit="1" customWidth="1"/>
    <col min="9221" max="9222" width="10.81640625" style="155" bestFit="1" customWidth="1"/>
    <col min="9223" max="9223" width="16.08984375" style="155" bestFit="1" customWidth="1"/>
    <col min="9224" max="9224" width="16" style="155" bestFit="1" customWidth="1"/>
    <col min="9225" max="9225" width="15.6328125" style="155" bestFit="1" customWidth="1"/>
    <col min="9226" max="9226" width="15" style="155" bestFit="1" customWidth="1"/>
    <col min="9227" max="9227" width="16.90625" style="155" bestFit="1" customWidth="1"/>
    <col min="9228" max="9228" width="15.6328125" style="155" bestFit="1" customWidth="1"/>
    <col min="9229" max="9229" width="15" style="155" bestFit="1" customWidth="1"/>
    <col min="9230" max="9230" width="15" style="155" customWidth="1"/>
    <col min="9231" max="9231" width="8.90625" style="155"/>
    <col min="9232" max="9232" width="19.6328125" style="155" customWidth="1"/>
    <col min="9233" max="9469" width="8.90625" style="155"/>
    <col min="9470" max="9470" width="5.08984375" style="155" customWidth="1"/>
    <col min="9471" max="9471" width="35" style="155" customWidth="1"/>
    <col min="9472" max="9472" width="8.08984375" style="155" bestFit="1" customWidth="1"/>
    <col min="9473" max="9473" width="9" style="155" customWidth="1"/>
    <col min="9474" max="9474" width="6.6328125" style="155" bestFit="1" customWidth="1"/>
    <col min="9475" max="9475" width="9" style="155" bestFit="1" customWidth="1"/>
    <col min="9476" max="9476" width="9.90625" style="155" bestFit="1" customWidth="1"/>
    <col min="9477" max="9478" width="10.81640625" style="155" bestFit="1" customWidth="1"/>
    <col min="9479" max="9479" width="16.08984375" style="155" bestFit="1" customWidth="1"/>
    <col min="9480" max="9480" width="16" style="155" bestFit="1" customWidth="1"/>
    <col min="9481" max="9481" width="15.6328125" style="155" bestFit="1" customWidth="1"/>
    <col min="9482" max="9482" width="15" style="155" bestFit="1" customWidth="1"/>
    <col min="9483" max="9483" width="16.90625" style="155" bestFit="1" customWidth="1"/>
    <col min="9484" max="9484" width="15.6328125" style="155" bestFit="1" customWidth="1"/>
    <col min="9485" max="9485" width="15" style="155" bestFit="1" customWidth="1"/>
    <col min="9486" max="9486" width="15" style="155" customWidth="1"/>
    <col min="9487" max="9487" width="8.90625" style="155"/>
    <col min="9488" max="9488" width="19.6328125" style="155" customWidth="1"/>
    <col min="9489" max="9725" width="8.90625" style="155"/>
    <col min="9726" max="9726" width="5.08984375" style="155" customWidth="1"/>
    <col min="9727" max="9727" width="35" style="155" customWidth="1"/>
    <col min="9728" max="9728" width="8.08984375" style="155" bestFit="1" customWidth="1"/>
    <col min="9729" max="9729" width="9" style="155" customWidth="1"/>
    <col min="9730" max="9730" width="6.6328125" style="155" bestFit="1" customWidth="1"/>
    <col min="9731" max="9731" width="9" style="155" bestFit="1" customWidth="1"/>
    <col min="9732" max="9732" width="9.90625" style="155" bestFit="1" customWidth="1"/>
    <col min="9733" max="9734" width="10.81640625" style="155" bestFit="1" customWidth="1"/>
    <col min="9735" max="9735" width="16.08984375" style="155" bestFit="1" customWidth="1"/>
    <col min="9736" max="9736" width="16" style="155" bestFit="1" customWidth="1"/>
    <col min="9737" max="9737" width="15.6328125" style="155" bestFit="1" customWidth="1"/>
    <col min="9738" max="9738" width="15" style="155" bestFit="1" customWidth="1"/>
    <col min="9739" max="9739" width="16.90625" style="155" bestFit="1" customWidth="1"/>
    <col min="9740" max="9740" width="15.6328125" style="155" bestFit="1" customWidth="1"/>
    <col min="9741" max="9741" width="15" style="155" bestFit="1" customWidth="1"/>
    <col min="9742" max="9742" width="15" style="155" customWidth="1"/>
    <col min="9743" max="9743" width="8.90625" style="155"/>
    <col min="9744" max="9744" width="19.6328125" style="155" customWidth="1"/>
    <col min="9745" max="9981" width="8.90625" style="155"/>
    <col min="9982" max="9982" width="5.08984375" style="155" customWidth="1"/>
    <col min="9983" max="9983" width="35" style="155" customWidth="1"/>
    <col min="9984" max="9984" width="8.08984375" style="155" bestFit="1" customWidth="1"/>
    <col min="9985" max="9985" width="9" style="155" customWidth="1"/>
    <col min="9986" max="9986" width="6.6328125" style="155" bestFit="1" customWidth="1"/>
    <col min="9987" max="9987" width="9" style="155" bestFit="1" customWidth="1"/>
    <col min="9988" max="9988" width="9.90625" style="155" bestFit="1" customWidth="1"/>
    <col min="9989" max="9990" width="10.81640625" style="155" bestFit="1" customWidth="1"/>
    <col min="9991" max="9991" width="16.08984375" style="155" bestFit="1" customWidth="1"/>
    <col min="9992" max="9992" width="16" style="155" bestFit="1" customWidth="1"/>
    <col min="9993" max="9993" width="15.6328125" style="155" bestFit="1" customWidth="1"/>
    <col min="9994" max="9994" width="15" style="155" bestFit="1" customWidth="1"/>
    <col min="9995" max="9995" width="16.90625" style="155" bestFit="1" customWidth="1"/>
    <col min="9996" max="9996" width="15.6328125" style="155" bestFit="1" customWidth="1"/>
    <col min="9997" max="9997" width="15" style="155" bestFit="1" customWidth="1"/>
    <col min="9998" max="9998" width="15" style="155" customWidth="1"/>
    <col min="9999" max="9999" width="8.90625" style="155"/>
    <col min="10000" max="10000" width="19.6328125" style="155" customWidth="1"/>
    <col min="10001" max="10237" width="8.90625" style="155"/>
    <col min="10238" max="10238" width="5.08984375" style="155" customWidth="1"/>
    <col min="10239" max="10239" width="35" style="155" customWidth="1"/>
    <col min="10240" max="10240" width="8.08984375" style="155" bestFit="1" customWidth="1"/>
    <col min="10241" max="10241" width="9" style="155" customWidth="1"/>
    <col min="10242" max="10242" width="6.6328125" style="155" bestFit="1" customWidth="1"/>
    <col min="10243" max="10243" width="9" style="155" bestFit="1" customWidth="1"/>
    <col min="10244" max="10244" width="9.90625" style="155" bestFit="1" customWidth="1"/>
    <col min="10245" max="10246" width="10.81640625" style="155" bestFit="1" customWidth="1"/>
    <col min="10247" max="10247" width="16.08984375" style="155" bestFit="1" customWidth="1"/>
    <col min="10248" max="10248" width="16" style="155" bestFit="1" customWidth="1"/>
    <col min="10249" max="10249" width="15.6328125" style="155" bestFit="1" customWidth="1"/>
    <col min="10250" max="10250" width="15" style="155" bestFit="1" customWidth="1"/>
    <col min="10251" max="10251" width="16.90625" style="155" bestFit="1" customWidth="1"/>
    <col min="10252" max="10252" width="15.6328125" style="155" bestFit="1" customWidth="1"/>
    <col min="10253" max="10253" width="15" style="155" bestFit="1" customWidth="1"/>
    <col min="10254" max="10254" width="15" style="155" customWidth="1"/>
    <col min="10255" max="10255" width="8.90625" style="155"/>
    <col min="10256" max="10256" width="19.6328125" style="155" customWidth="1"/>
    <col min="10257" max="10493" width="8.90625" style="155"/>
    <col min="10494" max="10494" width="5.08984375" style="155" customWidth="1"/>
    <col min="10495" max="10495" width="35" style="155" customWidth="1"/>
    <col min="10496" max="10496" width="8.08984375" style="155" bestFit="1" customWidth="1"/>
    <col min="10497" max="10497" width="9" style="155" customWidth="1"/>
    <col min="10498" max="10498" width="6.6328125" style="155" bestFit="1" customWidth="1"/>
    <col min="10499" max="10499" width="9" style="155" bestFit="1" customWidth="1"/>
    <col min="10500" max="10500" width="9.90625" style="155" bestFit="1" customWidth="1"/>
    <col min="10501" max="10502" width="10.81640625" style="155" bestFit="1" customWidth="1"/>
    <col min="10503" max="10503" width="16.08984375" style="155" bestFit="1" customWidth="1"/>
    <col min="10504" max="10504" width="16" style="155" bestFit="1" customWidth="1"/>
    <col min="10505" max="10505" width="15.6328125" style="155" bestFit="1" customWidth="1"/>
    <col min="10506" max="10506" width="15" style="155" bestFit="1" customWidth="1"/>
    <col min="10507" max="10507" width="16.90625" style="155" bestFit="1" customWidth="1"/>
    <col min="10508" max="10508" width="15.6328125" style="155" bestFit="1" customWidth="1"/>
    <col min="10509" max="10509" width="15" style="155" bestFit="1" customWidth="1"/>
    <col min="10510" max="10510" width="15" style="155" customWidth="1"/>
    <col min="10511" max="10511" width="8.90625" style="155"/>
    <col min="10512" max="10512" width="19.6328125" style="155" customWidth="1"/>
    <col min="10513" max="10749" width="8.90625" style="155"/>
    <col min="10750" max="10750" width="5.08984375" style="155" customWidth="1"/>
    <col min="10751" max="10751" width="35" style="155" customWidth="1"/>
    <col min="10752" max="10752" width="8.08984375" style="155" bestFit="1" customWidth="1"/>
    <col min="10753" max="10753" width="9" style="155" customWidth="1"/>
    <col min="10754" max="10754" width="6.6328125" style="155" bestFit="1" customWidth="1"/>
    <col min="10755" max="10755" width="9" style="155" bestFit="1" customWidth="1"/>
    <col min="10756" max="10756" width="9.90625" style="155" bestFit="1" customWidth="1"/>
    <col min="10757" max="10758" width="10.81640625" style="155" bestFit="1" customWidth="1"/>
    <col min="10759" max="10759" width="16.08984375" style="155" bestFit="1" customWidth="1"/>
    <col min="10760" max="10760" width="16" style="155" bestFit="1" customWidth="1"/>
    <col min="10761" max="10761" width="15.6328125" style="155" bestFit="1" customWidth="1"/>
    <col min="10762" max="10762" width="15" style="155" bestFit="1" customWidth="1"/>
    <col min="10763" max="10763" width="16.90625" style="155" bestFit="1" customWidth="1"/>
    <col min="10764" max="10764" width="15.6328125" style="155" bestFit="1" customWidth="1"/>
    <col min="10765" max="10765" width="15" style="155" bestFit="1" customWidth="1"/>
    <col min="10766" max="10766" width="15" style="155" customWidth="1"/>
    <col min="10767" max="10767" width="8.90625" style="155"/>
    <col min="10768" max="10768" width="19.6328125" style="155" customWidth="1"/>
    <col min="10769" max="11005" width="8.90625" style="155"/>
    <col min="11006" max="11006" width="5.08984375" style="155" customWidth="1"/>
    <col min="11007" max="11007" width="35" style="155" customWidth="1"/>
    <col min="11008" max="11008" width="8.08984375" style="155" bestFit="1" customWidth="1"/>
    <col min="11009" max="11009" width="9" style="155" customWidth="1"/>
    <col min="11010" max="11010" width="6.6328125" style="155" bestFit="1" customWidth="1"/>
    <col min="11011" max="11011" width="9" style="155" bestFit="1" customWidth="1"/>
    <col min="11012" max="11012" width="9.90625" style="155" bestFit="1" customWidth="1"/>
    <col min="11013" max="11014" width="10.81640625" style="155" bestFit="1" customWidth="1"/>
    <col min="11015" max="11015" width="16.08984375" style="155" bestFit="1" customWidth="1"/>
    <col min="11016" max="11016" width="16" style="155" bestFit="1" customWidth="1"/>
    <col min="11017" max="11017" width="15.6328125" style="155" bestFit="1" customWidth="1"/>
    <col min="11018" max="11018" width="15" style="155" bestFit="1" customWidth="1"/>
    <col min="11019" max="11019" width="16.90625" style="155" bestFit="1" customWidth="1"/>
    <col min="11020" max="11020" width="15.6328125" style="155" bestFit="1" customWidth="1"/>
    <col min="11021" max="11021" width="15" style="155" bestFit="1" customWidth="1"/>
    <col min="11022" max="11022" width="15" style="155" customWidth="1"/>
    <col min="11023" max="11023" width="8.90625" style="155"/>
    <col min="11024" max="11024" width="19.6328125" style="155" customWidth="1"/>
    <col min="11025" max="11261" width="8.90625" style="155"/>
    <col min="11262" max="11262" width="5.08984375" style="155" customWidth="1"/>
    <col min="11263" max="11263" width="35" style="155" customWidth="1"/>
    <col min="11264" max="11264" width="8.08984375" style="155" bestFit="1" customWidth="1"/>
    <col min="11265" max="11265" width="9" style="155" customWidth="1"/>
    <col min="11266" max="11266" width="6.6328125" style="155" bestFit="1" customWidth="1"/>
    <col min="11267" max="11267" width="9" style="155" bestFit="1" customWidth="1"/>
    <col min="11268" max="11268" width="9.90625" style="155" bestFit="1" customWidth="1"/>
    <col min="11269" max="11270" width="10.81640625" style="155" bestFit="1" customWidth="1"/>
    <col min="11271" max="11271" width="16.08984375" style="155" bestFit="1" customWidth="1"/>
    <col min="11272" max="11272" width="16" style="155" bestFit="1" customWidth="1"/>
    <col min="11273" max="11273" width="15.6328125" style="155" bestFit="1" customWidth="1"/>
    <col min="11274" max="11274" width="15" style="155" bestFit="1" customWidth="1"/>
    <col min="11275" max="11275" width="16.90625" style="155" bestFit="1" customWidth="1"/>
    <col min="11276" max="11276" width="15.6328125" style="155" bestFit="1" customWidth="1"/>
    <col min="11277" max="11277" width="15" style="155" bestFit="1" customWidth="1"/>
    <col min="11278" max="11278" width="15" style="155" customWidth="1"/>
    <col min="11279" max="11279" width="8.90625" style="155"/>
    <col min="11280" max="11280" width="19.6328125" style="155" customWidth="1"/>
    <col min="11281" max="11517" width="8.90625" style="155"/>
    <col min="11518" max="11518" width="5.08984375" style="155" customWidth="1"/>
    <col min="11519" max="11519" width="35" style="155" customWidth="1"/>
    <col min="11520" max="11520" width="8.08984375" style="155" bestFit="1" customWidth="1"/>
    <col min="11521" max="11521" width="9" style="155" customWidth="1"/>
    <col min="11522" max="11522" width="6.6328125" style="155" bestFit="1" customWidth="1"/>
    <col min="11523" max="11523" width="9" style="155" bestFit="1" customWidth="1"/>
    <col min="11524" max="11524" width="9.90625" style="155" bestFit="1" customWidth="1"/>
    <col min="11525" max="11526" width="10.81640625" style="155" bestFit="1" customWidth="1"/>
    <col min="11527" max="11527" width="16.08984375" style="155" bestFit="1" customWidth="1"/>
    <col min="11528" max="11528" width="16" style="155" bestFit="1" customWidth="1"/>
    <col min="11529" max="11529" width="15.6328125" style="155" bestFit="1" customWidth="1"/>
    <col min="11530" max="11530" width="15" style="155" bestFit="1" customWidth="1"/>
    <col min="11531" max="11531" width="16.90625" style="155" bestFit="1" customWidth="1"/>
    <col min="11532" max="11532" width="15.6328125" style="155" bestFit="1" customWidth="1"/>
    <col min="11533" max="11533" width="15" style="155" bestFit="1" customWidth="1"/>
    <col min="11534" max="11534" width="15" style="155" customWidth="1"/>
    <col min="11535" max="11535" width="8.90625" style="155"/>
    <col min="11536" max="11536" width="19.6328125" style="155" customWidth="1"/>
    <col min="11537" max="11773" width="8.90625" style="155"/>
    <col min="11774" max="11774" width="5.08984375" style="155" customWidth="1"/>
    <col min="11775" max="11775" width="35" style="155" customWidth="1"/>
    <col min="11776" max="11776" width="8.08984375" style="155" bestFit="1" customWidth="1"/>
    <col min="11777" max="11777" width="9" style="155" customWidth="1"/>
    <col min="11778" max="11778" width="6.6328125" style="155" bestFit="1" customWidth="1"/>
    <col min="11779" max="11779" width="9" style="155" bestFit="1" customWidth="1"/>
    <col min="11780" max="11780" width="9.90625" style="155" bestFit="1" customWidth="1"/>
    <col min="11781" max="11782" width="10.81640625" style="155" bestFit="1" customWidth="1"/>
    <col min="11783" max="11783" width="16.08984375" style="155" bestFit="1" customWidth="1"/>
    <col min="11784" max="11784" width="16" style="155" bestFit="1" customWidth="1"/>
    <col min="11785" max="11785" width="15.6328125" style="155" bestFit="1" customWidth="1"/>
    <col min="11786" max="11786" width="15" style="155" bestFit="1" customWidth="1"/>
    <col min="11787" max="11787" width="16.90625" style="155" bestFit="1" customWidth="1"/>
    <col min="11788" max="11788" width="15.6328125" style="155" bestFit="1" customWidth="1"/>
    <col min="11789" max="11789" width="15" style="155" bestFit="1" customWidth="1"/>
    <col min="11790" max="11790" width="15" style="155" customWidth="1"/>
    <col min="11791" max="11791" width="8.90625" style="155"/>
    <col min="11792" max="11792" width="19.6328125" style="155" customWidth="1"/>
    <col min="11793" max="12029" width="8.90625" style="155"/>
    <col min="12030" max="12030" width="5.08984375" style="155" customWidth="1"/>
    <col min="12031" max="12031" width="35" style="155" customWidth="1"/>
    <col min="12032" max="12032" width="8.08984375" style="155" bestFit="1" customWidth="1"/>
    <col min="12033" max="12033" width="9" style="155" customWidth="1"/>
    <col min="12034" max="12034" width="6.6328125" style="155" bestFit="1" customWidth="1"/>
    <col min="12035" max="12035" width="9" style="155" bestFit="1" customWidth="1"/>
    <col min="12036" max="12036" width="9.90625" style="155" bestFit="1" customWidth="1"/>
    <col min="12037" max="12038" width="10.81640625" style="155" bestFit="1" customWidth="1"/>
    <col min="12039" max="12039" width="16.08984375" style="155" bestFit="1" customWidth="1"/>
    <col min="12040" max="12040" width="16" style="155" bestFit="1" customWidth="1"/>
    <col min="12041" max="12041" width="15.6328125" style="155" bestFit="1" customWidth="1"/>
    <col min="12042" max="12042" width="15" style="155" bestFit="1" customWidth="1"/>
    <col min="12043" max="12043" width="16.90625" style="155" bestFit="1" customWidth="1"/>
    <col min="12044" max="12044" width="15.6328125" style="155" bestFit="1" customWidth="1"/>
    <col min="12045" max="12045" width="15" style="155" bestFit="1" customWidth="1"/>
    <col min="12046" max="12046" width="15" style="155" customWidth="1"/>
    <col min="12047" max="12047" width="8.90625" style="155"/>
    <col min="12048" max="12048" width="19.6328125" style="155" customWidth="1"/>
    <col min="12049" max="12285" width="8.90625" style="155"/>
    <col min="12286" max="12286" width="5.08984375" style="155" customWidth="1"/>
    <col min="12287" max="12287" width="35" style="155" customWidth="1"/>
    <col min="12288" max="12288" width="8.08984375" style="155" bestFit="1" customWidth="1"/>
    <col min="12289" max="12289" width="9" style="155" customWidth="1"/>
    <col min="12290" max="12290" width="6.6328125" style="155" bestFit="1" customWidth="1"/>
    <col min="12291" max="12291" width="9" style="155" bestFit="1" customWidth="1"/>
    <col min="12292" max="12292" width="9.90625" style="155" bestFit="1" customWidth="1"/>
    <col min="12293" max="12294" width="10.81640625" style="155" bestFit="1" customWidth="1"/>
    <col min="12295" max="12295" width="16.08984375" style="155" bestFit="1" customWidth="1"/>
    <col min="12296" max="12296" width="16" style="155" bestFit="1" customWidth="1"/>
    <col min="12297" max="12297" width="15.6328125" style="155" bestFit="1" customWidth="1"/>
    <col min="12298" max="12298" width="15" style="155" bestFit="1" customWidth="1"/>
    <col min="12299" max="12299" width="16.90625" style="155" bestFit="1" customWidth="1"/>
    <col min="12300" max="12300" width="15.6328125" style="155" bestFit="1" customWidth="1"/>
    <col min="12301" max="12301" width="15" style="155" bestFit="1" customWidth="1"/>
    <col min="12302" max="12302" width="15" style="155" customWidth="1"/>
    <col min="12303" max="12303" width="8.90625" style="155"/>
    <col min="12304" max="12304" width="19.6328125" style="155" customWidth="1"/>
    <col min="12305" max="12541" width="8.90625" style="155"/>
    <col min="12542" max="12542" width="5.08984375" style="155" customWidth="1"/>
    <col min="12543" max="12543" width="35" style="155" customWidth="1"/>
    <col min="12544" max="12544" width="8.08984375" style="155" bestFit="1" customWidth="1"/>
    <col min="12545" max="12545" width="9" style="155" customWidth="1"/>
    <col min="12546" max="12546" width="6.6328125" style="155" bestFit="1" customWidth="1"/>
    <col min="12547" max="12547" width="9" style="155" bestFit="1" customWidth="1"/>
    <col min="12548" max="12548" width="9.90625" style="155" bestFit="1" customWidth="1"/>
    <col min="12549" max="12550" width="10.81640625" style="155" bestFit="1" customWidth="1"/>
    <col min="12551" max="12551" width="16.08984375" style="155" bestFit="1" customWidth="1"/>
    <col min="12552" max="12552" width="16" style="155" bestFit="1" customWidth="1"/>
    <col min="12553" max="12553" width="15.6328125" style="155" bestFit="1" customWidth="1"/>
    <col min="12554" max="12554" width="15" style="155" bestFit="1" customWidth="1"/>
    <col min="12555" max="12555" width="16.90625" style="155" bestFit="1" customWidth="1"/>
    <col min="12556" max="12556" width="15.6328125" style="155" bestFit="1" customWidth="1"/>
    <col min="12557" max="12557" width="15" style="155" bestFit="1" customWidth="1"/>
    <col min="12558" max="12558" width="15" style="155" customWidth="1"/>
    <col min="12559" max="12559" width="8.90625" style="155"/>
    <col min="12560" max="12560" width="19.6328125" style="155" customWidth="1"/>
    <col min="12561" max="12797" width="8.90625" style="155"/>
    <col min="12798" max="12798" width="5.08984375" style="155" customWidth="1"/>
    <col min="12799" max="12799" width="35" style="155" customWidth="1"/>
    <col min="12800" max="12800" width="8.08984375" style="155" bestFit="1" customWidth="1"/>
    <col min="12801" max="12801" width="9" style="155" customWidth="1"/>
    <col min="12802" max="12802" width="6.6328125" style="155" bestFit="1" customWidth="1"/>
    <col min="12803" max="12803" width="9" style="155" bestFit="1" customWidth="1"/>
    <col min="12804" max="12804" width="9.90625" style="155" bestFit="1" customWidth="1"/>
    <col min="12805" max="12806" width="10.81640625" style="155" bestFit="1" customWidth="1"/>
    <col min="12807" max="12807" width="16.08984375" style="155" bestFit="1" customWidth="1"/>
    <col min="12808" max="12808" width="16" style="155" bestFit="1" customWidth="1"/>
    <col min="12809" max="12809" width="15.6328125" style="155" bestFit="1" customWidth="1"/>
    <col min="12810" max="12810" width="15" style="155" bestFit="1" customWidth="1"/>
    <col min="12811" max="12811" width="16.90625" style="155" bestFit="1" customWidth="1"/>
    <col min="12812" max="12812" width="15.6328125" style="155" bestFit="1" customWidth="1"/>
    <col min="12813" max="12813" width="15" style="155" bestFit="1" customWidth="1"/>
    <col min="12814" max="12814" width="15" style="155" customWidth="1"/>
    <col min="12815" max="12815" width="8.90625" style="155"/>
    <col min="12816" max="12816" width="19.6328125" style="155" customWidth="1"/>
    <col min="12817" max="13053" width="8.90625" style="155"/>
    <col min="13054" max="13054" width="5.08984375" style="155" customWidth="1"/>
    <col min="13055" max="13055" width="35" style="155" customWidth="1"/>
    <col min="13056" max="13056" width="8.08984375" style="155" bestFit="1" customWidth="1"/>
    <col min="13057" max="13057" width="9" style="155" customWidth="1"/>
    <col min="13058" max="13058" width="6.6328125" style="155" bestFit="1" customWidth="1"/>
    <col min="13059" max="13059" width="9" style="155" bestFit="1" customWidth="1"/>
    <col min="13060" max="13060" width="9.90625" style="155" bestFit="1" customWidth="1"/>
    <col min="13061" max="13062" width="10.81640625" style="155" bestFit="1" customWidth="1"/>
    <col min="13063" max="13063" width="16.08984375" style="155" bestFit="1" customWidth="1"/>
    <col min="13064" max="13064" width="16" style="155" bestFit="1" customWidth="1"/>
    <col min="13065" max="13065" width="15.6328125" style="155" bestFit="1" customWidth="1"/>
    <col min="13066" max="13066" width="15" style="155" bestFit="1" customWidth="1"/>
    <col min="13067" max="13067" width="16.90625" style="155" bestFit="1" customWidth="1"/>
    <col min="13068" max="13068" width="15.6328125" style="155" bestFit="1" customWidth="1"/>
    <col min="13069" max="13069" width="15" style="155" bestFit="1" customWidth="1"/>
    <col min="13070" max="13070" width="15" style="155" customWidth="1"/>
    <col min="13071" max="13071" width="8.90625" style="155"/>
    <col min="13072" max="13072" width="19.6328125" style="155" customWidth="1"/>
    <col min="13073" max="13309" width="8.90625" style="155"/>
    <col min="13310" max="13310" width="5.08984375" style="155" customWidth="1"/>
    <col min="13311" max="13311" width="35" style="155" customWidth="1"/>
    <col min="13312" max="13312" width="8.08984375" style="155" bestFit="1" customWidth="1"/>
    <col min="13313" max="13313" width="9" style="155" customWidth="1"/>
    <col min="13314" max="13314" width="6.6328125" style="155" bestFit="1" customWidth="1"/>
    <col min="13315" max="13315" width="9" style="155" bestFit="1" customWidth="1"/>
    <col min="13316" max="13316" width="9.90625" style="155" bestFit="1" customWidth="1"/>
    <col min="13317" max="13318" width="10.81640625" style="155" bestFit="1" customWidth="1"/>
    <col min="13319" max="13319" width="16.08984375" style="155" bestFit="1" customWidth="1"/>
    <col min="13320" max="13320" width="16" style="155" bestFit="1" customWidth="1"/>
    <col min="13321" max="13321" width="15.6328125" style="155" bestFit="1" customWidth="1"/>
    <col min="13322" max="13322" width="15" style="155" bestFit="1" customWidth="1"/>
    <col min="13323" max="13323" width="16.90625" style="155" bestFit="1" customWidth="1"/>
    <col min="13324" max="13324" width="15.6328125" style="155" bestFit="1" customWidth="1"/>
    <col min="13325" max="13325" width="15" style="155" bestFit="1" customWidth="1"/>
    <col min="13326" max="13326" width="15" style="155" customWidth="1"/>
    <col min="13327" max="13327" width="8.90625" style="155"/>
    <col min="13328" max="13328" width="19.6328125" style="155" customWidth="1"/>
    <col min="13329" max="13565" width="8.90625" style="155"/>
    <col min="13566" max="13566" width="5.08984375" style="155" customWidth="1"/>
    <col min="13567" max="13567" width="35" style="155" customWidth="1"/>
    <col min="13568" max="13568" width="8.08984375" style="155" bestFit="1" customWidth="1"/>
    <col min="13569" max="13569" width="9" style="155" customWidth="1"/>
    <col min="13570" max="13570" width="6.6328125" style="155" bestFit="1" customWidth="1"/>
    <col min="13571" max="13571" width="9" style="155" bestFit="1" customWidth="1"/>
    <col min="13572" max="13572" width="9.90625" style="155" bestFit="1" customWidth="1"/>
    <col min="13573" max="13574" width="10.81640625" style="155" bestFit="1" customWidth="1"/>
    <col min="13575" max="13575" width="16.08984375" style="155" bestFit="1" customWidth="1"/>
    <col min="13576" max="13576" width="16" style="155" bestFit="1" customWidth="1"/>
    <col min="13577" max="13577" width="15.6328125" style="155" bestFit="1" customWidth="1"/>
    <col min="13578" max="13578" width="15" style="155" bestFit="1" customWidth="1"/>
    <col min="13579" max="13579" width="16.90625" style="155" bestFit="1" customWidth="1"/>
    <col min="13580" max="13580" width="15.6328125" style="155" bestFit="1" customWidth="1"/>
    <col min="13581" max="13581" width="15" style="155" bestFit="1" customWidth="1"/>
    <col min="13582" max="13582" width="15" style="155" customWidth="1"/>
    <col min="13583" max="13583" width="8.90625" style="155"/>
    <col min="13584" max="13584" width="19.6328125" style="155" customWidth="1"/>
    <col min="13585" max="13821" width="8.90625" style="155"/>
    <col min="13822" max="13822" width="5.08984375" style="155" customWidth="1"/>
    <col min="13823" max="13823" width="35" style="155" customWidth="1"/>
    <col min="13824" max="13824" width="8.08984375" style="155" bestFit="1" customWidth="1"/>
    <col min="13825" max="13825" width="9" style="155" customWidth="1"/>
    <col min="13826" max="13826" width="6.6328125" style="155" bestFit="1" customWidth="1"/>
    <col min="13827" max="13827" width="9" style="155" bestFit="1" customWidth="1"/>
    <col min="13828" max="13828" width="9.90625" style="155" bestFit="1" customWidth="1"/>
    <col min="13829" max="13830" width="10.81640625" style="155" bestFit="1" customWidth="1"/>
    <col min="13831" max="13831" width="16.08984375" style="155" bestFit="1" customWidth="1"/>
    <col min="13832" max="13832" width="16" style="155" bestFit="1" customWidth="1"/>
    <col min="13833" max="13833" width="15.6328125" style="155" bestFit="1" customWidth="1"/>
    <col min="13834" max="13834" width="15" style="155" bestFit="1" customWidth="1"/>
    <col min="13835" max="13835" width="16.90625" style="155" bestFit="1" customWidth="1"/>
    <col min="13836" max="13836" width="15.6328125" style="155" bestFit="1" customWidth="1"/>
    <col min="13837" max="13837" width="15" style="155" bestFit="1" customWidth="1"/>
    <col min="13838" max="13838" width="15" style="155" customWidth="1"/>
    <col min="13839" max="13839" width="8.90625" style="155"/>
    <col min="13840" max="13840" width="19.6328125" style="155" customWidth="1"/>
    <col min="13841" max="14077" width="8.90625" style="155"/>
    <col min="14078" max="14078" width="5.08984375" style="155" customWidth="1"/>
    <col min="14079" max="14079" width="35" style="155" customWidth="1"/>
    <col min="14080" max="14080" width="8.08984375" style="155" bestFit="1" customWidth="1"/>
    <col min="14081" max="14081" width="9" style="155" customWidth="1"/>
    <col min="14082" max="14082" width="6.6328125" style="155" bestFit="1" customWidth="1"/>
    <col min="14083" max="14083" width="9" style="155" bestFit="1" customWidth="1"/>
    <col min="14084" max="14084" width="9.90625" style="155" bestFit="1" customWidth="1"/>
    <col min="14085" max="14086" width="10.81640625" style="155" bestFit="1" customWidth="1"/>
    <col min="14087" max="14087" width="16.08984375" style="155" bestFit="1" customWidth="1"/>
    <col min="14088" max="14088" width="16" style="155" bestFit="1" customWidth="1"/>
    <col min="14089" max="14089" width="15.6328125" style="155" bestFit="1" customWidth="1"/>
    <col min="14090" max="14090" width="15" style="155" bestFit="1" customWidth="1"/>
    <col min="14091" max="14091" width="16.90625" style="155" bestFit="1" customWidth="1"/>
    <col min="14092" max="14092" width="15.6328125" style="155" bestFit="1" customWidth="1"/>
    <col min="14093" max="14093" width="15" style="155" bestFit="1" customWidth="1"/>
    <col min="14094" max="14094" width="15" style="155" customWidth="1"/>
    <col min="14095" max="14095" width="8.90625" style="155"/>
    <col min="14096" max="14096" width="19.6328125" style="155" customWidth="1"/>
    <col min="14097" max="14333" width="8.90625" style="155"/>
    <col min="14334" max="14334" width="5.08984375" style="155" customWidth="1"/>
    <col min="14335" max="14335" width="35" style="155" customWidth="1"/>
    <col min="14336" max="14336" width="8.08984375" style="155" bestFit="1" customWidth="1"/>
    <col min="14337" max="14337" width="9" style="155" customWidth="1"/>
    <col min="14338" max="14338" width="6.6328125" style="155" bestFit="1" customWidth="1"/>
    <col min="14339" max="14339" width="9" style="155" bestFit="1" customWidth="1"/>
    <col min="14340" max="14340" width="9.90625" style="155" bestFit="1" customWidth="1"/>
    <col min="14341" max="14342" width="10.81640625" style="155" bestFit="1" customWidth="1"/>
    <col min="14343" max="14343" width="16.08984375" style="155" bestFit="1" customWidth="1"/>
    <col min="14344" max="14344" width="16" style="155" bestFit="1" customWidth="1"/>
    <col min="14345" max="14345" width="15.6328125" style="155" bestFit="1" customWidth="1"/>
    <col min="14346" max="14346" width="15" style="155" bestFit="1" customWidth="1"/>
    <col min="14347" max="14347" width="16.90625" style="155" bestFit="1" customWidth="1"/>
    <col min="14348" max="14348" width="15.6328125" style="155" bestFit="1" customWidth="1"/>
    <col min="14349" max="14349" width="15" style="155" bestFit="1" customWidth="1"/>
    <col min="14350" max="14350" width="15" style="155" customWidth="1"/>
    <col min="14351" max="14351" width="8.90625" style="155"/>
    <col min="14352" max="14352" width="19.6328125" style="155" customWidth="1"/>
    <col min="14353" max="14589" width="8.90625" style="155"/>
    <col min="14590" max="14590" width="5.08984375" style="155" customWidth="1"/>
    <col min="14591" max="14591" width="35" style="155" customWidth="1"/>
    <col min="14592" max="14592" width="8.08984375" style="155" bestFit="1" customWidth="1"/>
    <col min="14593" max="14593" width="9" style="155" customWidth="1"/>
    <col min="14594" max="14594" width="6.6328125" style="155" bestFit="1" customWidth="1"/>
    <col min="14595" max="14595" width="9" style="155" bestFit="1" customWidth="1"/>
    <col min="14596" max="14596" width="9.90625" style="155" bestFit="1" customWidth="1"/>
    <col min="14597" max="14598" width="10.81640625" style="155" bestFit="1" customWidth="1"/>
    <col min="14599" max="14599" width="16.08984375" style="155" bestFit="1" customWidth="1"/>
    <col min="14600" max="14600" width="16" style="155" bestFit="1" customWidth="1"/>
    <col min="14601" max="14601" width="15.6328125" style="155" bestFit="1" customWidth="1"/>
    <col min="14602" max="14602" width="15" style="155" bestFit="1" customWidth="1"/>
    <col min="14603" max="14603" width="16.90625" style="155" bestFit="1" customWidth="1"/>
    <col min="14604" max="14604" width="15.6328125" style="155" bestFit="1" customWidth="1"/>
    <col min="14605" max="14605" width="15" style="155" bestFit="1" customWidth="1"/>
    <col min="14606" max="14606" width="15" style="155" customWidth="1"/>
    <col min="14607" max="14607" width="8.90625" style="155"/>
    <col min="14608" max="14608" width="19.6328125" style="155" customWidth="1"/>
    <col min="14609" max="14845" width="8.90625" style="155"/>
    <col min="14846" max="14846" width="5.08984375" style="155" customWidth="1"/>
    <col min="14847" max="14847" width="35" style="155" customWidth="1"/>
    <col min="14848" max="14848" width="8.08984375" style="155" bestFit="1" customWidth="1"/>
    <col min="14849" max="14849" width="9" style="155" customWidth="1"/>
    <col min="14850" max="14850" width="6.6328125" style="155" bestFit="1" customWidth="1"/>
    <col min="14851" max="14851" width="9" style="155" bestFit="1" customWidth="1"/>
    <col min="14852" max="14852" width="9.90625" style="155" bestFit="1" customWidth="1"/>
    <col min="14853" max="14854" width="10.81640625" style="155" bestFit="1" customWidth="1"/>
    <col min="14855" max="14855" width="16.08984375" style="155" bestFit="1" customWidth="1"/>
    <col min="14856" max="14856" width="16" style="155" bestFit="1" customWidth="1"/>
    <col min="14857" max="14857" width="15.6328125" style="155" bestFit="1" customWidth="1"/>
    <col min="14858" max="14858" width="15" style="155" bestFit="1" customWidth="1"/>
    <col min="14859" max="14859" width="16.90625" style="155" bestFit="1" customWidth="1"/>
    <col min="14860" max="14860" width="15.6328125" style="155" bestFit="1" customWidth="1"/>
    <col min="14861" max="14861" width="15" style="155" bestFit="1" customWidth="1"/>
    <col min="14862" max="14862" width="15" style="155" customWidth="1"/>
    <col min="14863" max="14863" width="8.90625" style="155"/>
    <col min="14864" max="14864" width="19.6328125" style="155" customWidth="1"/>
    <col min="14865" max="15101" width="8.90625" style="155"/>
    <col min="15102" max="15102" width="5.08984375" style="155" customWidth="1"/>
    <col min="15103" max="15103" width="35" style="155" customWidth="1"/>
    <col min="15104" max="15104" width="8.08984375" style="155" bestFit="1" customWidth="1"/>
    <col min="15105" max="15105" width="9" style="155" customWidth="1"/>
    <col min="15106" max="15106" width="6.6328125" style="155" bestFit="1" customWidth="1"/>
    <col min="15107" max="15107" width="9" style="155" bestFit="1" customWidth="1"/>
    <col min="15108" max="15108" width="9.90625" style="155" bestFit="1" customWidth="1"/>
    <col min="15109" max="15110" width="10.81640625" style="155" bestFit="1" customWidth="1"/>
    <col min="15111" max="15111" width="16.08984375" style="155" bestFit="1" customWidth="1"/>
    <col min="15112" max="15112" width="16" style="155" bestFit="1" customWidth="1"/>
    <col min="15113" max="15113" width="15.6328125" style="155" bestFit="1" customWidth="1"/>
    <col min="15114" max="15114" width="15" style="155" bestFit="1" customWidth="1"/>
    <col min="15115" max="15115" width="16.90625" style="155" bestFit="1" customWidth="1"/>
    <col min="15116" max="15116" width="15.6328125" style="155" bestFit="1" customWidth="1"/>
    <col min="15117" max="15117" width="15" style="155" bestFit="1" customWidth="1"/>
    <col min="15118" max="15118" width="15" style="155" customWidth="1"/>
    <col min="15119" max="15119" width="8.90625" style="155"/>
    <col min="15120" max="15120" width="19.6328125" style="155" customWidth="1"/>
    <col min="15121" max="15357" width="8.90625" style="155"/>
    <col min="15358" max="15358" width="5.08984375" style="155" customWidth="1"/>
    <col min="15359" max="15359" width="35" style="155" customWidth="1"/>
    <col min="15360" max="15360" width="8.08984375" style="155" bestFit="1" customWidth="1"/>
    <col min="15361" max="15361" width="9" style="155" customWidth="1"/>
    <col min="15362" max="15362" width="6.6328125" style="155" bestFit="1" customWidth="1"/>
    <col min="15363" max="15363" width="9" style="155" bestFit="1" customWidth="1"/>
    <col min="15364" max="15364" width="9.90625" style="155" bestFit="1" customWidth="1"/>
    <col min="15365" max="15366" width="10.81640625" style="155" bestFit="1" customWidth="1"/>
    <col min="15367" max="15367" width="16.08984375" style="155" bestFit="1" customWidth="1"/>
    <col min="15368" max="15368" width="16" style="155" bestFit="1" customWidth="1"/>
    <col min="15369" max="15369" width="15.6328125" style="155" bestFit="1" customWidth="1"/>
    <col min="15370" max="15370" width="15" style="155" bestFit="1" customWidth="1"/>
    <col min="15371" max="15371" width="16.90625" style="155" bestFit="1" customWidth="1"/>
    <col min="15372" max="15372" width="15.6328125" style="155" bestFit="1" customWidth="1"/>
    <col min="15373" max="15373" width="15" style="155" bestFit="1" customWidth="1"/>
    <col min="15374" max="15374" width="15" style="155" customWidth="1"/>
    <col min="15375" max="15375" width="8.90625" style="155"/>
    <col min="15376" max="15376" width="19.6328125" style="155" customWidth="1"/>
    <col min="15377" max="15613" width="8.90625" style="155"/>
    <col min="15614" max="15614" width="5.08984375" style="155" customWidth="1"/>
    <col min="15615" max="15615" width="35" style="155" customWidth="1"/>
    <col min="15616" max="15616" width="8.08984375" style="155" bestFit="1" customWidth="1"/>
    <col min="15617" max="15617" width="9" style="155" customWidth="1"/>
    <col min="15618" max="15618" width="6.6328125" style="155" bestFit="1" customWidth="1"/>
    <col min="15619" max="15619" width="9" style="155" bestFit="1" customWidth="1"/>
    <col min="15620" max="15620" width="9.90625" style="155" bestFit="1" customWidth="1"/>
    <col min="15621" max="15622" width="10.81640625" style="155" bestFit="1" customWidth="1"/>
    <col min="15623" max="15623" width="16.08984375" style="155" bestFit="1" customWidth="1"/>
    <col min="15624" max="15624" width="16" style="155" bestFit="1" customWidth="1"/>
    <col min="15625" max="15625" width="15.6328125" style="155" bestFit="1" customWidth="1"/>
    <col min="15626" max="15626" width="15" style="155" bestFit="1" customWidth="1"/>
    <col min="15627" max="15627" width="16.90625" style="155" bestFit="1" customWidth="1"/>
    <col min="15628" max="15628" width="15.6328125" style="155" bestFit="1" customWidth="1"/>
    <col min="15629" max="15629" width="15" style="155" bestFit="1" customWidth="1"/>
    <col min="15630" max="15630" width="15" style="155" customWidth="1"/>
    <col min="15631" max="15631" width="8.90625" style="155"/>
    <col min="15632" max="15632" width="19.6328125" style="155" customWidth="1"/>
    <col min="15633" max="15869" width="8.90625" style="155"/>
    <col min="15870" max="15870" width="5.08984375" style="155" customWidth="1"/>
    <col min="15871" max="15871" width="35" style="155" customWidth="1"/>
    <col min="15872" max="15872" width="8.08984375" style="155" bestFit="1" customWidth="1"/>
    <col min="15873" max="15873" width="9" style="155" customWidth="1"/>
    <col min="15874" max="15874" width="6.6328125" style="155" bestFit="1" customWidth="1"/>
    <col min="15875" max="15875" width="9" style="155" bestFit="1" customWidth="1"/>
    <col min="15876" max="15876" width="9.90625" style="155" bestFit="1" customWidth="1"/>
    <col min="15877" max="15878" width="10.81640625" style="155" bestFit="1" customWidth="1"/>
    <col min="15879" max="15879" width="16.08984375" style="155" bestFit="1" customWidth="1"/>
    <col min="15880" max="15880" width="16" style="155" bestFit="1" customWidth="1"/>
    <col min="15881" max="15881" width="15.6328125" style="155" bestFit="1" customWidth="1"/>
    <col min="15882" max="15882" width="15" style="155" bestFit="1" customWidth="1"/>
    <col min="15883" max="15883" width="16.90625" style="155" bestFit="1" customWidth="1"/>
    <col min="15884" max="15884" width="15.6328125" style="155" bestFit="1" customWidth="1"/>
    <col min="15885" max="15885" width="15" style="155" bestFit="1" customWidth="1"/>
    <col min="15886" max="15886" width="15" style="155" customWidth="1"/>
    <col min="15887" max="15887" width="8.90625" style="155"/>
    <col min="15888" max="15888" width="19.6328125" style="155" customWidth="1"/>
    <col min="15889" max="16125" width="8.90625" style="155"/>
    <col min="16126" max="16126" width="5.08984375" style="155" customWidth="1"/>
    <col min="16127" max="16127" width="35" style="155" customWidth="1"/>
    <col min="16128" max="16128" width="8.08984375" style="155" bestFit="1" customWidth="1"/>
    <col min="16129" max="16129" width="9" style="155" customWidth="1"/>
    <col min="16130" max="16130" width="6.6328125" style="155" bestFit="1" customWidth="1"/>
    <col min="16131" max="16131" width="9" style="155" bestFit="1" customWidth="1"/>
    <col min="16132" max="16132" width="9.90625" style="155" bestFit="1" customWidth="1"/>
    <col min="16133" max="16134" width="10.81640625" style="155" bestFit="1" customWidth="1"/>
    <col min="16135" max="16135" width="16.08984375" style="155" bestFit="1" customWidth="1"/>
    <col min="16136" max="16136" width="16" style="155" bestFit="1" customWidth="1"/>
    <col min="16137" max="16137" width="15.6328125" style="155" bestFit="1" customWidth="1"/>
    <col min="16138" max="16138" width="15" style="155" bestFit="1" customWidth="1"/>
    <col min="16139" max="16139" width="16.90625" style="155" bestFit="1" customWidth="1"/>
    <col min="16140" max="16140" width="15.6328125" style="155" bestFit="1" customWidth="1"/>
    <col min="16141" max="16141" width="15" style="155" bestFit="1" customWidth="1"/>
    <col min="16142" max="16142" width="15" style="155" customWidth="1"/>
    <col min="16143" max="16143" width="8.90625" style="155"/>
    <col min="16144" max="16144" width="19.6328125" style="155" customWidth="1"/>
    <col min="16145" max="16384" width="8.90625" style="155"/>
  </cols>
  <sheetData>
    <row r="1" spans="1:13" x14ac:dyDescent="0.3">
      <c r="A1" s="266" t="s">
        <v>530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3" ht="31.75" customHeight="1" x14ac:dyDescent="0.3">
      <c r="A2" s="267" t="s">
        <v>463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3" ht="34.25" customHeight="1" x14ac:dyDescent="0.3">
      <c r="A3" s="263" t="s">
        <v>524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3" ht="18" customHeight="1" x14ac:dyDescent="0.3">
      <c r="A4" s="264" t="s">
        <v>503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M4" s="150"/>
    </row>
    <row r="5" spans="1:13" s="156" customFormat="1" ht="27" customHeight="1" x14ac:dyDescent="0.25">
      <c r="A5" s="261" t="s">
        <v>493</v>
      </c>
      <c r="B5" s="261" t="s">
        <v>494</v>
      </c>
      <c r="C5" s="261" t="s">
        <v>495</v>
      </c>
      <c r="D5" s="265" t="s">
        <v>496</v>
      </c>
      <c r="E5" s="265"/>
      <c r="F5" s="260" t="s">
        <v>511</v>
      </c>
      <c r="G5" s="260"/>
      <c r="H5" s="261" t="s">
        <v>512</v>
      </c>
      <c r="I5" s="261" t="s">
        <v>522</v>
      </c>
      <c r="J5" s="261" t="s">
        <v>513</v>
      </c>
      <c r="K5" s="261" t="s">
        <v>514</v>
      </c>
    </row>
    <row r="6" spans="1:13" s="156" customFormat="1" ht="21" x14ac:dyDescent="0.25">
      <c r="A6" s="262"/>
      <c r="B6" s="262"/>
      <c r="C6" s="262"/>
      <c r="D6" s="152" t="s">
        <v>497</v>
      </c>
      <c r="E6" s="152" t="s">
        <v>498</v>
      </c>
      <c r="F6" s="151" t="s">
        <v>499</v>
      </c>
      <c r="G6" s="151" t="s">
        <v>517</v>
      </c>
      <c r="H6" s="262"/>
      <c r="I6" s="262"/>
      <c r="J6" s="262"/>
      <c r="K6" s="262"/>
    </row>
    <row r="7" spans="1:13" s="156" customFormat="1" ht="10.5" x14ac:dyDescent="0.25">
      <c r="A7" s="151">
        <v>1</v>
      </c>
      <c r="B7" s="151">
        <v>2</v>
      </c>
      <c r="C7" s="151">
        <v>3</v>
      </c>
      <c r="D7" s="152">
        <v>4</v>
      </c>
      <c r="E7" s="152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</row>
    <row r="8" spans="1:13" x14ac:dyDescent="0.3">
      <c r="A8" s="149">
        <v>1</v>
      </c>
      <c r="B8" s="153" t="s">
        <v>505</v>
      </c>
      <c r="C8" s="157">
        <v>1</v>
      </c>
      <c r="D8" s="158" t="s">
        <v>504</v>
      </c>
      <c r="E8" s="157" t="s">
        <v>506</v>
      </c>
      <c r="F8" s="159">
        <v>9</v>
      </c>
      <c r="G8" s="160">
        <v>1190</v>
      </c>
      <c r="H8" s="161">
        <f>G8*C8*12</f>
        <v>14280</v>
      </c>
      <c r="I8" s="161">
        <f>G8*0.75</f>
        <v>892.5</v>
      </c>
      <c r="J8" s="161">
        <f>H8+I8</f>
        <v>15172.5</v>
      </c>
      <c r="K8" s="161">
        <f>J8*1.2359</f>
        <v>18751.692749999998</v>
      </c>
    </row>
    <row r="9" spans="1:13" x14ac:dyDescent="0.3">
      <c r="A9" s="149">
        <v>2</v>
      </c>
      <c r="B9" s="153" t="s">
        <v>507</v>
      </c>
      <c r="C9" s="157">
        <v>0.75</v>
      </c>
      <c r="D9" s="158" t="s">
        <v>504</v>
      </c>
      <c r="E9" s="157" t="s">
        <v>506</v>
      </c>
      <c r="F9" s="159">
        <v>9</v>
      </c>
      <c r="G9" s="160">
        <v>1190</v>
      </c>
      <c r="H9" s="161">
        <f t="shared" ref="H9:H13" si="0">G9*C9*12</f>
        <v>10710</v>
      </c>
      <c r="I9" s="161">
        <f>G9*0.75</f>
        <v>892.5</v>
      </c>
      <c r="J9" s="161">
        <f t="shared" ref="J9:J13" si="1">H9+I9</f>
        <v>11602.5</v>
      </c>
      <c r="K9" s="161">
        <f t="shared" ref="K9:K13" si="2">J9*1.2359</f>
        <v>14339.52975</v>
      </c>
    </row>
    <row r="10" spans="1:13" s="162" customFormat="1" x14ac:dyDescent="0.3">
      <c r="A10" s="149">
        <v>3</v>
      </c>
      <c r="B10" s="154" t="s">
        <v>508</v>
      </c>
      <c r="C10" s="157">
        <v>1</v>
      </c>
      <c r="D10" s="158" t="s">
        <v>504</v>
      </c>
      <c r="E10" s="157" t="s">
        <v>506</v>
      </c>
      <c r="F10" s="159">
        <v>9</v>
      </c>
      <c r="G10" s="160">
        <v>1190</v>
      </c>
      <c r="H10" s="161">
        <f t="shared" si="0"/>
        <v>14280</v>
      </c>
      <c r="I10" s="161">
        <f t="shared" ref="I10:I13" si="3">G10*0.75</f>
        <v>892.5</v>
      </c>
      <c r="J10" s="161">
        <f t="shared" si="1"/>
        <v>15172.5</v>
      </c>
      <c r="K10" s="161">
        <f t="shared" si="2"/>
        <v>18751.692749999998</v>
      </c>
    </row>
    <row r="11" spans="1:13" x14ac:dyDescent="0.3">
      <c r="A11" s="149">
        <v>4</v>
      </c>
      <c r="B11" s="153" t="s">
        <v>516</v>
      </c>
      <c r="C11" s="157">
        <v>1</v>
      </c>
      <c r="D11" s="158">
        <v>23</v>
      </c>
      <c r="E11" s="163" t="s">
        <v>518</v>
      </c>
      <c r="F11" s="159">
        <v>8</v>
      </c>
      <c r="G11" s="160">
        <v>1093</v>
      </c>
      <c r="H11" s="161">
        <f t="shared" si="0"/>
        <v>13116</v>
      </c>
      <c r="I11" s="161">
        <f t="shared" si="3"/>
        <v>819.75</v>
      </c>
      <c r="J11" s="161">
        <f t="shared" si="1"/>
        <v>13935.75</v>
      </c>
      <c r="K11" s="161">
        <f t="shared" si="2"/>
        <v>17223.193425000001</v>
      </c>
    </row>
    <row r="12" spans="1:13" x14ac:dyDescent="0.3">
      <c r="A12" s="149">
        <v>5</v>
      </c>
      <c r="B12" s="154" t="s">
        <v>509</v>
      </c>
      <c r="C12" s="157">
        <v>0.5</v>
      </c>
      <c r="D12" s="163">
        <v>13</v>
      </c>
      <c r="E12" s="163" t="s">
        <v>500</v>
      </c>
      <c r="F12" s="159">
        <v>5</v>
      </c>
      <c r="G12" s="160">
        <v>802</v>
      </c>
      <c r="H12" s="161">
        <f t="shared" si="0"/>
        <v>4812</v>
      </c>
      <c r="I12" s="161">
        <f t="shared" si="3"/>
        <v>601.5</v>
      </c>
      <c r="J12" s="161">
        <f t="shared" si="1"/>
        <v>5413.5</v>
      </c>
      <c r="K12" s="161">
        <f t="shared" si="2"/>
        <v>6690.5446499999998</v>
      </c>
    </row>
    <row r="13" spans="1:13" x14ac:dyDescent="0.3">
      <c r="A13" s="149">
        <v>6</v>
      </c>
      <c r="B13" s="153" t="s">
        <v>510</v>
      </c>
      <c r="C13" s="157">
        <v>1</v>
      </c>
      <c r="D13" s="163">
        <v>41</v>
      </c>
      <c r="E13" s="163" t="s">
        <v>502</v>
      </c>
      <c r="F13" s="159">
        <v>7</v>
      </c>
      <c r="G13" s="160">
        <v>996</v>
      </c>
      <c r="H13" s="161">
        <f t="shared" si="0"/>
        <v>11952</v>
      </c>
      <c r="I13" s="161">
        <f t="shared" si="3"/>
        <v>747</v>
      </c>
      <c r="J13" s="161">
        <f t="shared" si="1"/>
        <v>12699</v>
      </c>
      <c r="K13" s="161">
        <f t="shared" si="2"/>
        <v>15694.694100000001</v>
      </c>
    </row>
    <row r="14" spans="1:13" x14ac:dyDescent="0.3">
      <c r="A14" s="268" t="s">
        <v>483</v>
      </c>
      <c r="B14" s="268"/>
      <c r="C14" s="164">
        <f>SUM(C8:C13)</f>
        <v>5.25</v>
      </c>
      <c r="D14" s="164" t="s">
        <v>426</v>
      </c>
      <c r="E14" s="164" t="s">
        <v>426</v>
      </c>
      <c r="F14" s="165" t="s">
        <v>426</v>
      </c>
      <c r="G14" s="165" t="s">
        <v>426</v>
      </c>
      <c r="H14" s="166">
        <f>SUM(H8:H13)</f>
        <v>69150</v>
      </c>
      <c r="I14" s="166">
        <f>SUM(I8:I13)</f>
        <v>4845.75</v>
      </c>
      <c r="J14" s="166">
        <f>SUM(J8:J13)</f>
        <v>73995.75</v>
      </c>
      <c r="K14" s="166">
        <f>SUM(K8:K13)</f>
        <v>91451.347424999985</v>
      </c>
    </row>
    <row r="16" spans="1:13" ht="15" x14ac:dyDescent="0.3">
      <c r="A16" s="264" t="s">
        <v>492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M16" s="150"/>
    </row>
    <row r="17" spans="1:11" s="156" customFormat="1" ht="27" customHeight="1" x14ac:dyDescent="0.25">
      <c r="A17" s="261" t="s">
        <v>493</v>
      </c>
      <c r="B17" s="261" t="s">
        <v>494</v>
      </c>
      <c r="C17" s="261" t="s">
        <v>495</v>
      </c>
      <c r="D17" s="265" t="s">
        <v>496</v>
      </c>
      <c r="E17" s="265"/>
      <c r="F17" s="260" t="s">
        <v>511</v>
      </c>
      <c r="G17" s="260"/>
      <c r="H17" s="261" t="s">
        <v>512</v>
      </c>
      <c r="I17" s="261" t="s">
        <v>522</v>
      </c>
      <c r="J17" s="261" t="s">
        <v>513</v>
      </c>
      <c r="K17" s="261" t="s">
        <v>514</v>
      </c>
    </row>
    <row r="18" spans="1:11" s="156" customFormat="1" ht="21" x14ac:dyDescent="0.25">
      <c r="A18" s="262"/>
      <c r="B18" s="262"/>
      <c r="C18" s="262"/>
      <c r="D18" s="152" t="s">
        <v>497</v>
      </c>
      <c r="E18" s="152" t="s">
        <v>498</v>
      </c>
      <c r="F18" s="151" t="s">
        <v>499</v>
      </c>
      <c r="G18" s="151" t="s">
        <v>517</v>
      </c>
      <c r="H18" s="262"/>
      <c r="I18" s="262"/>
      <c r="J18" s="262"/>
      <c r="K18" s="262"/>
    </row>
    <row r="19" spans="1:11" s="156" customFormat="1" ht="10.5" x14ac:dyDescent="0.25">
      <c r="A19" s="151">
        <v>1</v>
      </c>
      <c r="B19" s="151">
        <v>2</v>
      </c>
      <c r="C19" s="151">
        <v>3</v>
      </c>
      <c r="D19" s="152">
        <v>4</v>
      </c>
      <c r="E19" s="152">
        <v>5</v>
      </c>
      <c r="F19" s="151">
        <v>6</v>
      </c>
      <c r="G19" s="151">
        <v>7</v>
      </c>
      <c r="H19" s="151">
        <v>8</v>
      </c>
      <c r="I19" s="151">
        <v>9</v>
      </c>
      <c r="J19" s="151">
        <v>10</v>
      </c>
      <c r="K19" s="151">
        <v>11</v>
      </c>
    </row>
    <row r="20" spans="1:11" x14ac:dyDescent="0.3">
      <c r="A20" s="149">
        <v>1</v>
      </c>
      <c r="B20" s="153" t="s">
        <v>515</v>
      </c>
      <c r="C20" s="157">
        <v>1</v>
      </c>
      <c r="D20" s="158">
        <v>2</v>
      </c>
      <c r="E20" s="157" t="s">
        <v>500</v>
      </c>
      <c r="F20" s="159">
        <v>11</v>
      </c>
      <c r="G20" s="160">
        <v>1382</v>
      </c>
      <c r="H20" s="161">
        <f>G20*C20*12</f>
        <v>16584</v>
      </c>
      <c r="I20" s="161">
        <f>G20*0.75</f>
        <v>1036.5</v>
      </c>
      <c r="J20" s="161">
        <f>H20+I20</f>
        <v>17620.5</v>
      </c>
      <c r="K20" s="161">
        <f>J20*1.2359</f>
        <v>21777.175950000001</v>
      </c>
    </row>
    <row r="21" spans="1:11" x14ac:dyDescent="0.3">
      <c r="A21" s="149">
        <v>2</v>
      </c>
      <c r="B21" s="153" t="s">
        <v>501</v>
      </c>
      <c r="C21" s="157">
        <v>1</v>
      </c>
      <c r="D21" s="158">
        <v>21</v>
      </c>
      <c r="E21" s="157" t="s">
        <v>500</v>
      </c>
      <c r="F21" s="159">
        <v>11</v>
      </c>
      <c r="G21" s="160">
        <v>1382</v>
      </c>
      <c r="H21" s="161">
        <f t="shared" ref="H21" si="4">G21*C21*12</f>
        <v>16584</v>
      </c>
      <c r="I21" s="161">
        <f t="shared" ref="I21" si="5">G21*0.75</f>
        <v>1036.5</v>
      </c>
      <c r="J21" s="161">
        <f t="shared" ref="J21" si="6">H21+I21</f>
        <v>17620.5</v>
      </c>
      <c r="K21" s="161">
        <f t="shared" ref="K21" si="7">J21*1.2359</f>
        <v>21777.175950000001</v>
      </c>
    </row>
    <row r="22" spans="1:11" s="169" customFormat="1" x14ac:dyDescent="0.3">
      <c r="A22" s="167">
        <v>3</v>
      </c>
      <c r="B22" s="269" t="s">
        <v>523</v>
      </c>
      <c r="C22" s="270"/>
      <c r="D22" s="270"/>
      <c r="E22" s="270"/>
      <c r="F22" s="270"/>
      <c r="G22" s="270"/>
      <c r="H22" s="270"/>
      <c r="I22" s="270"/>
      <c r="J22" s="271"/>
      <c r="K22" s="168">
        <f>(K14+K20+K21)*0.1</f>
        <v>13500.569932500001</v>
      </c>
    </row>
    <row r="23" spans="1:11" x14ac:dyDescent="0.3">
      <c r="A23" s="268" t="s">
        <v>483</v>
      </c>
      <c r="B23" s="268"/>
      <c r="C23" s="164">
        <f>SUM(C20:C21)</f>
        <v>2</v>
      </c>
      <c r="D23" s="164" t="s">
        <v>426</v>
      </c>
      <c r="E23" s="164" t="s">
        <v>426</v>
      </c>
      <c r="F23" s="165" t="s">
        <v>426</v>
      </c>
      <c r="G23" s="165" t="s">
        <v>426</v>
      </c>
      <c r="H23" s="166">
        <f>SUM(H20:H21)</f>
        <v>33168</v>
      </c>
      <c r="I23" s="166">
        <f>SUM(I20:I21)</f>
        <v>2073</v>
      </c>
      <c r="J23" s="166">
        <f>SUM(J20:J21)</f>
        <v>35241</v>
      </c>
      <c r="K23" s="166">
        <f>SUM(K20:K22)</f>
        <v>57054.921832500004</v>
      </c>
    </row>
    <row r="26" spans="1:11" x14ac:dyDescent="0.3">
      <c r="A26" s="194" t="s">
        <v>535</v>
      </c>
    </row>
    <row r="27" spans="1:11" x14ac:dyDescent="0.3">
      <c r="A27" s="195" t="s">
        <v>536</v>
      </c>
    </row>
    <row r="28" spans="1:11" x14ac:dyDescent="0.3">
      <c r="A28" s="195" t="s">
        <v>537</v>
      </c>
    </row>
    <row r="29" spans="1:11" x14ac:dyDescent="0.3">
      <c r="A29" s="195" t="s">
        <v>538</v>
      </c>
    </row>
    <row r="30" spans="1:11" ht="14.5" x14ac:dyDescent="0.3">
      <c r="A30" s="196" t="s">
        <v>539</v>
      </c>
    </row>
    <row r="31" spans="1:11" x14ac:dyDescent="0.3">
      <c r="A31" s="30"/>
    </row>
  </sheetData>
  <mergeCells count="26">
    <mergeCell ref="A1:K1"/>
    <mergeCell ref="A2:K2"/>
    <mergeCell ref="A23:B23"/>
    <mergeCell ref="B22:J22"/>
    <mergeCell ref="A14:B14"/>
    <mergeCell ref="H5:H6"/>
    <mergeCell ref="I5:I6"/>
    <mergeCell ref="J5:J6"/>
    <mergeCell ref="A5:A6"/>
    <mergeCell ref="B5:B6"/>
    <mergeCell ref="C5:C6"/>
    <mergeCell ref="A16:K16"/>
    <mergeCell ref="A17:A18"/>
    <mergeCell ref="B17:B18"/>
    <mergeCell ref="C17:C18"/>
    <mergeCell ref="D17:E17"/>
    <mergeCell ref="F17:G17"/>
    <mergeCell ref="H17:H18"/>
    <mergeCell ref="A3:K3"/>
    <mergeCell ref="A4:K4"/>
    <mergeCell ref="I17:I18"/>
    <mergeCell ref="J17:J18"/>
    <mergeCell ref="K17:K18"/>
    <mergeCell ref="K5:K6"/>
    <mergeCell ref="D5:E5"/>
    <mergeCell ref="F5:G5"/>
  </mergeCells>
  <hyperlinks>
    <hyperlink ref="A30" r:id="rId1" display="mailto:Sandra.Strele@lm.gov.lv" xr:uid="{CE70CC48-B7D1-4D99-A6E6-A70B407E95CF}"/>
  </hyperlinks>
  <pageMargins left="0.70866141732283472" right="0.70866141732283472" top="0.74803149606299213" bottom="0.74803149606299213" header="0.31496062992125984" footer="0.31496062992125984"/>
  <pageSetup scale="9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KOPĀ</vt:lpstr>
      <vt:lpstr>Kopsavillums TPL</vt:lpstr>
      <vt:lpstr>2022.</vt:lpstr>
      <vt:lpstr>2023.</vt:lpstr>
      <vt:lpstr>2024.</vt:lpstr>
      <vt:lpstr>pieskaitāmās izmaksas</vt:lpstr>
      <vt:lpstr>'2022.'!Print_Titles</vt:lpstr>
      <vt:lpstr>'2023.'!Print_Titles</vt:lpstr>
      <vt:lpstr>'2024.'!Print_Titles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2021-08-24T14:05:56Z</dcterms:modified>
</cp:coreProperties>
</file>